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180" windowWidth="9705" windowHeight="10860" tabRatio="813" activeTab="10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" sheetId="20" r:id="rId7"/>
    <sheet name="Bank" sheetId="9" r:id="rId8"/>
    <sheet name="OTA" sheetId="4" r:id="rId9"/>
    <sheet name="Kuitansi" sheetId="14" r:id="rId10"/>
    <sheet name="Jur-kum" sheetId="16" r:id="rId11"/>
    <sheet name="Jur total" sheetId="19" r:id="rId12"/>
    <sheet name="LR" sheetId="17" r:id="rId13"/>
    <sheet name="Neraca" sheetId="18" r:id="rId14"/>
  </sheets>
  <externalReferences>
    <externalReference r:id="rId15"/>
    <externalReference r:id="rId16"/>
  </externalReferences>
  <definedNames>
    <definedName name="_xlnm._FilterDatabase" localSheetId="7" hidden="1">Bank!$A$1:$T$56</definedName>
    <definedName name="_xlnm._FilterDatabase" localSheetId="0" hidden="1">Cashflow!$A$1:$L$590</definedName>
    <definedName name="_xlnm._FilterDatabase" localSheetId="5" hidden="1">Invoices!$A$1:$P$27</definedName>
    <definedName name="_xlnm._FilterDatabase" localSheetId="10" hidden="1">'Jur-kum'!$A$3:$H$27</definedName>
    <definedName name="_xlnm._FilterDatabase" localSheetId="1" hidden="1">KK!$A$1:$AL$434</definedName>
    <definedName name="_xlnm._FilterDatabase" localSheetId="9" hidden="1">Kuitansi!$A$1:$N$167</definedName>
    <definedName name="_xlnm.Print_Area" localSheetId="7">Bank!$A$59:$C$100</definedName>
    <definedName name="_xlnm.Print_Area" localSheetId="4">Bills!$A$1:$P$15</definedName>
    <definedName name="_xlnm.Print_Area" localSheetId="6">DP!$A$73:$G$173</definedName>
    <definedName name="_xlnm.Print_Area" localSheetId="5">Invoices!$A$1:$P$54</definedName>
    <definedName name="_xlnm.Print_Area" localSheetId="11">'Jur total'!$A$1:$E$108</definedName>
    <definedName name="_xlnm.Print_Area" localSheetId="10">'Jur-kum'!$A$37:$H$48</definedName>
    <definedName name="_xlnm.Print_Area" localSheetId="1">KK!$A$1:$D$433</definedName>
    <definedName name="_xlnm.Print_Area" localSheetId="9">Kuitansi!$C$1:$D$172</definedName>
    <definedName name="_xlnm.Print_Area" localSheetId="12">LR!$A$1:$G$41</definedName>
    <definedName name="_xlnm.Print_Area" localSheetId="2">Rekap!$A$1:$D$58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9" l="1"/>
  <c r="D108" i="19" l="1"/>
  <c r="B108" i="19"/>
  <c r="D106" i="19"/>
  <c r="H88" i="16"/>
  <c r="F47" i="18"/>
  <c r="F52" i="18"/>
  <c r="C39" i="16"/>
  <c r="B28" i="19" l="1"/>
  <c r="C40" i="18"/>
  <c r="B10" i="17"/>
  <c r="B6" i="17"/>
  <c r="B7" i="17"/>
  <c r="B8" i="17"/>
  <c r="B9" i="17"/>
  <c r="C47" i="18"/>
  <c r="B97" i="19"/>
  <c r="D97" i="19" s="1"/>
  <c r="C8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D53" i="19"/>
  <c r="B51" i="19" s="1"/>
  <c r="B95" i="19"/>
  <c r="D95" i="19" s="1"/>
  <c r="C82" i="16"/>
  <c r="H82" i="16"/>
  <c r="C72" i="16"/>
  <c r="C92" i="9"/>
  <c r="C74" i="16"/>
  <c r="H51" i="16"/>
  <c r="G101" i="20"/>
  <c r="D104" i="20" l="1"/>
  <c r="E104" i="20"/>
  <c r="F104" i="20"/>
  <c r="C104" i="20"/>
  <c r="D81" i="20"/>
  <c r="D105" i="20" s="1"/>
  <c r="E81" i="20"/>
  <c r="E105" i="20" s="1"/>
  <c r="F81" i="20"/>
  <c r="F105" i="20" s="1"/>
  <c r="C81" i="20"/>
  <c r="C105" i="20" s="1"/>
  <c r="K47" i="9" l="1"/>
  <c r="G103" i="20"/>
  <c r="H64" i="10"/>
  <c r="G102" i="20"/>
  <c r="I54" i="10"/>
  <c r="J54" i="10"/>
  <c r="K54" i="10"/>
  <c r="L54" i="10"/>
  <c r="M54" i="10"/>
  <c r="N54" i="10"/>
  <c r="O54" i="10"/>
  <c r="P54" i="10"/>
  <c r="F54" i="10"/>
  <c r="E174" i="14"/>
  <c r="F174" i="14"/>
  <c r="G174" i="14"/>
  <c r="H174" i="14"/>
  <c r="I174" i="14"/>
  <c r="J174" i="14"/>
  <c r="K174" i="14"/>
  <c r="L174" i="14"/>
  <c r="D174" i="14"/>
  <c r="H173" i="14"/>
  <c r="C610" i="7"/>
  <c r="C609" i="7"/>
  <c r="M55" i="9"/>
  <c r="N55" i="9"/>
  <c r="O55" i="9"/>
  <c r="P55" i="9"/>
  <c r="Q55" i="9"/>
  <c r="R55" i="9"/>
  <c r="S54" i="9"/>
  <c r="S53" i="9"/>
  <c r="K52" i="9"/>
  <c r="L51" i="9"/>
  <c r="L49" i="9"/>
  <c r="L50" i="9"/>
  <c r="L48" i="9"/>
  <c r="K46" i="9"/>
  <c r="G45" i="9"/>
  <c r="G55" i="9" s="1"/>
  <c r="K44" i="9"/>
  <c r="L43" i="9"/>
  <c r="L42" i="9"/>
  <c r="G97" i="20"/>
  <c r="G98" i="20"/>
  <c r="G99" i="20"/>
  <c r="G100" i="20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K152" i="14"/>
  <c r="M41" i="14"/>
  <c r="M74" i="14"/>
  <c r="M137" i="14"/>
  <c r="M152" i="14"/>
  <c r="M171" i="14"/>
  <c r="H326" i="7"/>
  <c r="J16" i="1"/>
  <c r="K16" i="1"/>
  <c r="L16" i="1"/>
  <c r="M16" i="1"/>
  <c r="N16" i="1"/>
  <c r="O16" i="1"/>
  <c r="P16" i="1"/>
  <c r="AH434" i="8"/>
  <c r="AJ434" i="8"/>
  <c r="AL434" i="8"/>
  <c r="F434" i="8"/>
  <c r="O434" i="8"/>
  <c r="P434" i="8"/>
  <c r="Q434" i="8"/>
  <c r="R434" i="8"/>
  <c r="S434" i="8"/>
  <c r="T434" i="8"/>
  <c r="U434" i="8"/>
  <c r="V434" i="8"/>
  <c r="Y434" i="8"/>
  <c r="H172" i="14" l="1"/>
  <c r="M172" i="14" s="1"/>
  <c r="J170" i="14"/>
  <c r="M170" i="14" s="1"/>
  <c r="H169" i="14"/>
  <c r="M169" i="14" s="1"/>
  <c r="K168" i="14"/>
  <c r="M168" i="14" s="1"/>
  <c r="K167" i="14"/>
  <c r="M167" i="14" s="1"/>
  <c r="K166" i="14"/>
  <c r="M166" i="14" s="1"/>
  <c r="K165" i="14"/>
  <c r="M165" i="14" s="1"/>
  <c r="K164" i="14"/>
  <c r="M164" i="14" s="1"/>
  <c r="J163" i="14"/>
  <c r="M163" i="14" s="1"/>
  <c r="K162" i="14"/>
  <c r="M162" i="14" s="1"/>
  <c r="K161" i="14"/>
  <c r="M161" i="14" s="1"/>
  <c r="K160" i="14"/>
  <c r="M160" i="14" s="1"/>
  <c r="K159" i="14"/>
  <c r="M159" i="14" s="1"/>
  <c r="J158" i="14"/>
  <c r="M158" i="14" s="1"/>
  <c r="K157" i="14"/>
  <c r="M157" i="14" s="1"/>
  <c r="K156" i="14"/>
  <c r="M156" i="14" s="1"/>
  <c r="K155" i="14"/>
  <c r="M155" i="14" s="1"/>
  <c r="K154" i="14"/>
  <c r="M154" i="14" s="1"/>
  <c r="K153" i="14"/>
  <c r="M153" i="14" s="1"/>
  <c r="H151" i="14"/>
  <c r="M151" i="14" s="1"/>
  <c r="G150" i="14"/>
  <c r="K149" i="14"/>
  <c r="M149" i="14" s="1"/>
  <c r="K148" i="14"/>
  <c r="M148" i="14" s="1"/>
  <c r="J147" i="14"/>
  <c r="M147" i="14" s="1"/>
  <c r="K146" i="14"/>
  <c r="M146" i="14" s="1"/>
  <c r="K145" i="14"/>
  <c r="M145" i="14" s="1"/>
  <c r="K144" i="14"/>
  <c r="M144" i="14" s="1"/>
  <c r="K143" i="14"/>
  <c r="M143" i="14" s="1"/>
  <c r="E177" i="14"/>
  <c r="K142" i="14"/>
  <c r="M142" i="14" s="1"/>
  <c r="K141" i="14"/>
  <c r="M141" i="14" s="1"/>
  <c r="K140" i="14"/>
  <c r="M140" i="14" s="1"/>
  <c r="K139" i="14"/>
  <c r="M139" i="14" s="1"/>
  <c r="K138" i="14"/>
  <c r="M138" i="14" s="1"/>
  <c r="K136" i="14"/>
  <c r="M136" i="14" s="1"/>
  <c r="J135" i="14"/>
  <c r="M135" i="14" s="1"/>
  <c r="K134" i="14"/>
  <c r="M134" i="14" s="1"/>
  <c r="K133" i="14"/>
  <c r="M133" i="14" s="1"/>
  <c r="K132" i="14"/>
  <c r="M132" i="14" s="1"/>
  <c r="H131" i="14"/>
  <c r="M131" i="14" s="1"/>
  <c r="K130" i="14"/>
  <c r="M130" i="14" s="1"/>
  <c r="J129" i="14"/>
  <c r="M129" i="14" s="1"/>
  <c r="K128" i="14"/>
  <c r="M128" i="14" s="1"/>
  <c r="K127" i="14"/>
  <c r="M127" i="14" s="1"/>
  <c r="K126" i="14"/>
  <c r="M126" i="14" s="1"/>
  <c r="K125" i="14"/>
  <c r="M125" i="14" s="1"/>
  <c r="K124" i="14"/>
  <c r="M124" i="14" s="1"/>
  <c r="H123" i="14"/>
  <c r="M123" i="14" s="1"/>
  <c r="K122" i="14"/>
  <c r="M122" i="14" s="1"/>
  <c r="K121" i="14"/>
  <c r="M121" i="14" s="1"/>
  <c r="K120" i="14"/>
  <c r="M120" i="14" s="1"/>
  <c r="K119" i="14"/>
  <c r="M119" i="14" s="1"/>
  <c r="K118" i="14"/>
  <c r="M118" i="14" s="1"/>
  <c r="K117" i="14"/>
  <c r="M117" i="14" s="1"/>
  <c r="J116" i="14"/>
  <c r="M116" i="14" s="1"/>
  <c r="K115" i="14"/>
  <c r="M115" i="14" s="1"/>
  <c r="L41" i="9"/>
  <c r="L40" i="9"/>
  <c r="K39" i="9"/>
  <c r="K38" i="9"/>
  <c r="F37" i="9"/>
  <c r="L36" i="9"/>
  <c r="H53" i="10"/>
  <c r="H52" i="10"/>
  <c r="H51" i="10"/>
  <c r="G50" i="10"/>
  <c r="G49" i="10"/>
  <c r="G48" i="10"/>
  <c r="G47" i="10"/>
  <c r="G46" i="10"/>
  <c r="G45" i="10"/>
  <c r="G44" i="10"/>
  <c r="H43" i="10"/>
  <c r="G42" i="10"/>
  <c r="H41" i="10"/>
  <c r="H40" i="10"/>
  <c r="G39" i="10"/>
  <c r="G38" i="10"/>
  <c r="H37" i="10"/>
  <c r="G33" i="10"/>
  <c r="J15" i="1"/>
  <c r="J14" i="1"/>
  <c r="J13" i="1"/>
  <c r="I433" i="8"/>
  <c r="AG432" i="8"/>
  <c r="AB431" i="8"/>
  <c r="AF430" i="8"/>
  <c r="AG429" i="8"/>
  <c r="J428" i="8"/>
  <c r="H427" i="8"/>
  <c r="H426" i="8"/>
  <c r="H425" i="8"/>
  <c r="H424" i="8"/>
  <c r="H423" i="8"/>
  <c r="G422" i="8"/>
  <c r="K421" i="8"/>
  <c r="G420" i="8"/>
  <c r="G419" i="8"/>
  <c r="G418" i="8"/>
  <c r="I417" i="8"/>
  <c r="AG416" i="8"/>
  <c r="J415" i="8"/>
  <c r="I414" i="8"/>
  <c r="H413" i="8"/>
  <c r="J412" i="8"/>
  <c r="AG411" i="8"/>
  <c r="G410" i="8"/>
  <c r="H409" i="8"/>
  <c r="K408" i="8"/>
  <c r="H407" i="8"/>
  <c r="H406" i="8"/>
  <c r="K405" i="8"/>
  <c r="I404" i="8"/>
  <c r="H403" i="8"/>
  <c r="K402" i="8"/>
  <c r="H401" i="8"/>
  <c r="G400" i="8"/>
  <c r="H399" i="8"/>
  <c r="J398" i="8"/>
  <c r="AG397" i="8"/>
  <c r="AF396" i="8"/>
  <c r="G395" i="8"/>
  <c r="AG394" i="8"/>
  <c r="H393" i="8"/>
  <c r="J392" i="8"/>
  <c r="AG391" i="8"/>
  <c r="H390" i="8"/>
  <c r="K389" i="8"/>
  <c r="H388" i="8"/>
  <c r="H387" i="8"/>
  <c r="H386" i="8"/>
  <c r="K385" i="8"/>
  <c r="H384" i="8"/>
  <c r="G383" i="8"/>
  <c r="K382" i="8"/>
  <c r="G381" i="8"/>
  <c r="AG380" i="8"/>
  <c r="AI379" i="8"/>
  <c r="AG378" i="8"/>
  <c r="I377" i="8"/>
  <c r="H376" i="8"/>
  <c r="E375" i="8"/>
  <c r="J374" i="8"/>
  <c r="AG373" i="8"/>
  <c r="H372" i="8"/>
  <c r="H371" i="8"/>
  <c r="G370" i="8"/>
  <c r="AG369" i="8"/>
  <c r="L368" i="8"/>
  <c r="K367" i="8"/>
  <c r="H366" i="8"/>
  <c r="G365" i="8"/>
  <c r="I364" i="8"/>
  <c r="AG363" i="8"/>
  <c r="J362" i="8"/>
  <c r="AG361" i="8"/>
  <c r="M360" i="8"/>
  <c r="M434" i="8" s="1"/>
  <c r="H359" i="8"/>
  <c r="H358" i="8"/>
  <c r="G357" i="8"/>
  <c r="G356" i="8"/>
  <c r="H355" i="8"/>
  <c r="K354" i="8"/>
  <c r="H353" i="8"/>
  <c r="G352" i="8"/>
  <c r="H351" i="8"/>
  <c r="G350" i="8"/>
  <c r="H349" i="8"/>
  <c r="G348" i="8"/>
  <c r="AG347" i="8"/>
  <c r="K346" i="8"/>
  <c r="H345" i="8"/>
  <c r="K344" i="8"/>
  <c r="H343" i="8"/>
  <c r="H342" i="8"/>
  <c r="J341" i="8"/>
  <c r="J340" i="8"/>
  <c r="J339" i="8"/>
  <c r="G338" i="8"/>
  <c r="G337" i="8"/>
  <c r="G336" i="8"/>
  <c r="H335" i="8"/>
  <c r="I334" i="8"/>
  <c r="H333" i="8"/>
  <c r="H332" i="8"/>
  <c r="AF331" i="8"/>
  <c r="I330" i="8"/>
  <c r="K329" i="8"/>
  <c r="I328" i="8"/>
  <c r="G327" i="8"/>
  <c r="AG326" i="8"/>
  <c r="H325" i="8"/>
  <c r="AG324" i="8"/>
  <c r="H323" i="8"/>
  <c r="H322" i="8"/>
  <c r="H321" i="8"/>
  <c r="K320" i="8"/>
  <c r="G319" i="8"/>
  <c r="H318" i="8"/>
  <c r="G317" i="8"/>
  <c r="G316" i="8"/>
  <c r="H315" i="8"/>
  <c r="H314" i="8"/>
  <c r="AG313" i="8"/>
  <c r="J312" i="8"/>
  <c r="H311" i="8"/>
  <c r="K310" i="8"/>
  <c r="H309" i="8"/>
  <c r="X308" i="8"/>
  <c r="AG307" i="8"/>
  <c r="X306" i="8"/>
  <c r="H305" i="8"/>
  <c r="H304" i="8"/>
  <c r="G303" i="8"/>
  <c r="H302" i="8"/>
  <c r="K301" i="8"/>
  <c r="K300" i="8"/>
  <c r="G299" i="8"/>
  <c r="AG298" i="8"/>
  <c r="H297" i="8"/>
  <c r="J296" i="8"/>
  <c r="H295" i="8"/>
  <c r="H294" i="8"/>
  <c r="G293" i="8"/>
  <c r="H292" i="8"/>
  <c r="G291" i="8"/>
  <c r="H290" i="8"/>
  <c r="K289" i="8"/>
  <c r="H288" i="8"/>
  <c r="G287" i="8"/>
  <c r="J286" i="8"/>
  <c r="H285" i="8"/>
  <c r="H284" i="8"/>
  <c r="H283" i="8"/>
  <c r="G282" i="8"/>
  <c r="G281" i="8"/>
  <c r="H280" i="8"/>
  <c r="H279" i="8"/>
  <c r="K278" i="8"/>
  <c r="K277" i="8"/>
  <c r="G276" i="8"/>
  <c r="AF275" i="8"/>
  <c r="I274" i="8"/>
  <c r="H273" i="8"/>
  <c r="H272" i="8"/>
  <c r="J271" i="8"/>
  <c r="I270" i="8"/>
  <c r="H269" i="8"/>
  <c r="J268" i="8"/>
  <c r="G267" i="8"/>
  <c r="H266" i="8"/>
  <c r="K265" i="8"/>
  <c r="K264" i="8"/>
  <c r="C434" i="8"/>
  <c r="E434" i="8"/>
  <c r="H73" i="16" s="1"/>
  <c r="D438" i="8"/>
  <c r="I445" i="8"/>
  <c r="C446" i="8"/>
  <c r="C453" i="8"/>
  <c r="C455" i="8"/>
  <c r="C456" i="8"/>
  <c r="C457" i="8"/>
  <c r="C458" i="8"/>
  <c r="C460" i="8"/>
  <c r="C461" i="8"/>
  <c r="C462" i="8"/>
  <c r="C474" i="8"/>
  <c r="G588" i="7"/>
  <c r="K587" i="7"/>
  <c r="K586" i="7"/>
  <c r="H585" i="7"/>
  <c r="K584" i="7"/>
  <c r="K583" i="7"/>
  <c r="K582" i="7"/>
  <c r="K581" i="7"/>
  <c r="G580" i="7"/>
  <c r="K579" i="7"/>
  <c r="K578" i="7"/>
  <c r="K577" i="7"/>
  <c r="K576" i="7"/>
  <c r="K575" i="7"/>
  <c r="I574" i="7"/>
  <c r="K573" i="7"/>
  <c r="K572" i="7"/>
  <c r="K571" i="7"/>
  <c r="K570" i="7"/>
  <c r="K569" i="7"/>
  <c r="K568" i="7"/>
  <c r="K567" i="7"/>
  <c r="F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J553" i="7"/>
  <c r="K552" i="7"/>
  <c r="I551" i="7"/>
  <c r="K550" i="7"/>
  <c r="K549" i="7"/>
  <c r="K548" i="7"/>
  <c r="K547" i="7"/>
  <c r="F547" i="7"/>
  <c r="K546" i="7"/>
  <c r="F545" i="7"/>
  <c r="K544" i="7"/>
  <c r="F543" i="7"/>
  <c r="K542" i="7"/>
  <c r="K541" i="7"/>
  <c r="H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I526" i="7"/>
  <c r="K525" i="7"/>
  <c r="K524" i="7"/>
  <c r="F523" i="7"/>
  <c r="K522" i="7"/>
  <c r="K521" i="7"/>
  <c r="F520" i="7"/>
  <c r="K519" i="7"/>
  <c r="H518" i="7"/>
  <c r="K517" i="7"/>
  <c r="K516" i="7"/>
  <c r="K515" i="7"/>
  <c r="K514" i="7"/>
  <c r="K513" i="7"/>
  <c r="K512" i="7"/>
  <c r="J511" i="7"/>
  <c r="K510" i="7"/>
  <c r="K509" i="7"/>
  <c r="K508" i="7"/>
  <c r="K507" i="7"/>
  <c r="K506" i="7"/>
  <c r="K505" i="7"/>
  <c r="K504" i="7"/>
  <c r="K503" i="7"/>
  <c r="H502" i="7"/>
  <c r="K501" i="7"/>
  <c r="K500" i="7"/>
  <c r="K499" i="7"/>
  <c r="K498" i="7"/>
  <c r="K497" i="7"/>
  <c r="I497" i="7"/>
  <c r="K496" i="7"/>
  <c r="K495" i="7"/>
  <c r="K494" i="7"/>
  <c r="K493" i="7"/>
  <c r="I492" i="7"/>
  <c r="K491" i="7"/>
  <c r="K490" i="7"/>
  <c r="K489" i="7"/>
  <c r="K488" i="7"/>
  <c r="I487" i="7"/>
  <c r="K486" i="7"/>
  <c r="F485" i="7"/>
  <c r="K484" i="7"/>
  <c r="H483" i="7"/>
  <c r="K482" i="7"/>
  <c r="F481" i="7"/>
  <c r="K480" i="7"/>
  <c r="K479" i="7"/>
  <c r="K478" i="7"/>
  <c r="K477" i="7"/>
  <c r="K476" i="7"/>
  <c r="K475" i="7"/>
  <c r="H474" i="7"/>
  <c r="F473" i="7"/>
  <c r="F472" i="7"/>
  <c r="K471" i="7"/>
  <c r="K470" i="7"/>
  <c r="F469" i="7"/>
  <c r="F468" i="7"/>
  <c r="K467" i="7"/>
  <c r="K466" i="7"/>
  <c r="K465" i="7"/>
  <c r="K464" i="7"/>
  <c r="K463" i="7"/>
  <c r="K462" i="7"/>
  <c r="K461" i="7"/>
  <c r="H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I443" i="7"/>
  <c r="F442" i="7"/>
  <c r="K441" i="7"/>
  <c r="K440" i="7"/>
  <c r="K439" i="7"/>
  <c r="K438" i="7"/>
  <c r="G437" i="7"/>
  <c r="K436" i="7"/>
  <c r="K435" i="7"/>
  <c r="H434" i="7"/>
  <c r="K433" i="7"/>
  <c r="K432" i="7"/>
  <c r="K430" i="7"/>
  <c r="K429" i="7"/>
  <c r="K428" i="7"/>
  <c r="K427" i="7"/>
  <c r="K426" i="7"/>
  <c r="K425" i="7"/>
  <c r="K424" i="7"/>
  <c r="K423" i="7"/>
  <c r="K422" i="7"/>
  <c r="K421" i="7"/>
  <c r="K420" i="7"/>
  <c r="I419" i="7"/>
  <c r="K418" i="7"/>
  <c r="K417" i="7"/>
  <c r="K416" i="7"/>
  <c r="H415" i="7"/>
  <c r="K414" i="7"/>
  <c r="K413" i="7"/>
  <c r="K412" i="7"/>
  <c r="K411" i="7"/>
  <c r="K410" i="7"/>
  <c r="K409" i="7"/>
  <c r="K408" i="7"/>
  <c r="K407" i="7"/>
  <c r="K406" i="7"/>
  <c r="K405" i="7"/>
  <c r="F404" i="7"/>
  <c r="K403" i="7"/>
  <c r="F402" i="7"/>
  <c r="K401" i="7"/>
  <c r="K400" i="7"/>
  <c r="H399" i="7"/>
  <c r="K398" i="7"/>
  <c r="K397" i="7"/>
  <c r="K396" i="7"/>
  <c r="K395" i="7"/>
  <c r="K394" i="7"/>
  <c r="J393" i="7"/>
  <c r="K392" i="7"/>
  <c r="K391" i="7"/>
  <c r="K390" i="7"/>
  <c r="K389" i="7"/>
  <c r="K388" i="7"/>
  <c r="K387" i="7"/>
  <c r="K386" i="7"/>
  <c r="F385" i="7"/>
  <c r="H384" i="7"/>
  <c r="K383" i="7"/>
  <c r="K382" i="7"/>
  <c r="K381" i="7"/>
  <c r="K380" i="7"/>
  <c r="K379" i="7"/>
  <c r="K378" i="7"/>
  <c r="K377" i="7"/>
  <c r="K376" i="7"/>
  <c r="K375" i="7"/>
  <c r="K374" i="7"/>
  <c r="I373" i="7"/>
  <c r="K372" i="7"/>
  <c r="K371" i="7"/>
  <c r="K370" i="7"/>
  <c r="C73" i="16" l="1"/>
  <c r="B96" i="19"/>
  <c r="M150" i="14"/>
  <c r="I19" i="14"/>
  <c r="M19" i="14" s="1"/>
  <c r="I18" i="14"/>
  <c r="K114" i="14"/>
  <c r="M114" i="14" s="1"/>
  <c r="K113" i="14"/>
  <c r="M113" i="14" s="1"/>
  <c r="K112" i="14"/>
  <c r="M112" i="14" s="1"/>
  <c r="J111" i="14"/>
  <c r="M111" i="14" s="1"/>
  <c r="H110" i="14"/>
  <c r="M110" i="14" s="1"/>
  <c r="K109" i="14"/>
  <c r="M109" i="14" s="1"/>
  <c r="K108" i="14"/>
  <c r="M108" i="14" s="1"/>
  <c r="K107" i="14"/>
  <c r="M107" i="14" s="1"/>
  <c r="I106" i="14"/>
  <c r="M106" i="14" s="1"/>
  <c r="H105" i="14"/>
  <c r="M105" i="14" s="1"/>
  <c r="K104" i="14"/>
  <c r="M104" i="14" s="1"/>
  <c r="K103" i="14"/>
  <c r="M103" i="14" s="1"/>
  <c r="J102" i="14"/>
  <c r="M102" i="14" s="1"/>
  <c r="K101" i="14"/>
  <c r="M101" i="14" s="1"/>
  <c r="K100" i="14"/>
  <c r="M100" i="14" s="1"/>
  <c r="K99" i="14"/>
  <c r="M99" i="14" s="1"/>
  <c r="K98" i="14"/>
  <c r="M98" i="14" s="1"/>
  <c r="K97" i="14"/>
  <c r="M97" i="14" s="1"/>
  <c r="K96" i="14"/>
  <c r="M96" i="14" s="1"/>
  <c r="K95" i="14"/>
  <c r="M95" i="14" s="1"/>
  <c r="J94" i="14"/>
  <c r="M94" i="14" s="1"/>
  <c r="K93" i="14"/>
  <c r="M93" i="14" s="1"/>
  <c r="K92" i="14"/>
  <c r="M92" i="14" s="1"/>
  <c r="K91" i="14"/>
  <c r="M91" i="14" s="1"/>
  <c r="K90" i="14"/>
  <c r="M90" i="14" s="1"/>
  <c r="K89" i="14"/>
  <c r="M89" i="14" s="1"/>
  <c r="K88" i="14"/>
  <c r="M88" i="14" s="1"/>
  <c r="K87" i="14"/>
  <c r="M87" i="14" s="1"/>
  <c r="K86" i="14"/>
  <c r="M86" i="14" s="1"/>
  <c r="H85" i="14"/>
  <c r="M85" i="14" s="1"/>
  <c r="J84" i="14"/>
  <c r="M84" i="14" s="1"/>
  <c r="K83" i="14"/>
  <c r="M83" i="14" s="1"/>
  <c r="K82" i="14"/>
  <c r="M82" i="14" s="1"/>
  <c r="J81" i="14"/>
  <c r="M81" i="14" s="1"/>
  <c r="K80" i="14"/>
  <c r="M80" i="14" s="1"/>
  <c r="K79" i="14"/>
  <c r="M79" i="14" s="1"/>
  <c r="K78" i="14"/>
  <c r="M78" i="14" s="1"/>
  <c r="K77" i="14"/>
  <c r="M77" i="14" s="1"/>
  <c r="K76" i="14"/>
  <c r="M76" i="14" s="1"/>
  <c r="H75" i="14"/>
  <c r="M75" i="14" s="1"/>
  <c r="K73" i="14"/>
  <c r="M73" i="14" s="1"/>
  <c r="K72" i="14"/>
  <c r="M72" i="14" s="1"/>
  <c r="K71" i="14"/>
  <c r="M71" i="14" s="1"/>
  <c r="K70" i="14"/>
  <c r="M70" i="14" s="1"/>
  <c r="K69" i="14"/>
  <c r="M69" i="14" s="1"/>
  <c r="K68" i="14"/>
  <c r="M68" i="14" s="1"/>
  <c r="F67" i="14"/>
  <c r="M67" i="14" s="1"/>
  <c r="K66" i="14"/>
  <c r="M66" i="14" s="1"/>
  <c r="K65" i="14"/>
  <c r="M65" i="14" s="1"/>
  <c r="J64" i="14"/>
  <c r="M64" i="14" s="1"/>
  <c r="F63" i="14"/>
  <c r="M63" i="14" s="1"/>
  <c r="H62" i="14"/>
  <c r="M62" i="14" s="1"/>
  <c r="K61" i="14"/>
  <c r="M61" i="14" s="1"/>
  <c r="K60" i="14"/>
  <c r="M60" i="14" s="1"/>
  <c r="K59" i="14"/>
  <c r="M59" i="14" s="1"/>
  <c r="K58" i="14"/>
  <c r="M58" i="14" s="1"/>
  <c r="J57" i="14"/>
  <c r="M57" i="14" s="1"/>
  <c r="K56" i="14"/>
  <c r="M56" i="14" s="1"/>
  <c r="H55" i="14"/>
  <c r="M55" i="14" s="1"/>
  <c r="H54" i="14"/>
  <c r="M54" i="14" s="1"/>
  <c r="H53" i="14"/>
  <c r="M53" i="14" s="1"/>
  <c r="K52" i="14"/>
  <c r="M52" i="14" s="1"/>
  <c r="K51" i="14"/>
  <c r="M51" i="14" s="1"/>
  <c r="K50" i="14"/>
  <c r="M50" i="14" s="1"/>
  <c r="K49" i="14"/>
  <c r="M49" i="14" s="1"/>
  <c r="K48" i="14"/>
  <c r="M48" i="14" s="1"/>
  <c r="K47" i="14"/>
  <c r="M47" i="14" s="1"/>
  <c r="K46" i="14"/>
  <c r="M46" i="14" s="1"/>
  <c r="K45" i="14"/>
  <c r="M45" i="14" s="1"/>
  <c r="K44" i="14"/>
  <c r="M44" i="14" s="1"/>
  <c r="H43" i="14"/>
  <c r="M43" i="14" s="1"/>
  <c r="H42" i="14"/>
  <c r="M42" i="14" s="1"/>
  <c r="K40" i="14"/>
  <c r="M40" i="14" s="1"/>
  <c r="J39" i="14"/>
  <c r="M39" i="14" s="1"/>
  <c r="K38" i="14"/>
  <c r="M38" i="14" s="1"/>
  <c r="K37" i="14"/>
  <c r="M37" i="14" s="1"/>
  <c r="K36" i="14"/>
  <c r="M36" i="14" s="1"/>
  <c r="K35" i="14"/>
  <c r="M35" i="14" s="1"/>
  <c r="K34" i="14"/>
  <c r="M34" i="14" s="1"/>
  <c r="K33" i="14"/>
  <c r="M33" i="14" s="1"/>
  <c r="F32" i="14"/>
  <c r="M32" i="14" s="1"/>
  <c r="F31" i="14"/>
  <c r="M31" i="14" s="1"/>
  <c r="K30" i="14"/>
  <c r="M30" i="14" s="1"/>
  <c r="J29" i="14"/>
  <c r="M29" i="14" s="1"/>
  <c r="H28" i="14"/>
  <c r="M28" i="14" s="1"/>
  <c r="K27" i="14"/>
  <c r="M27" i="14" s="1"/>
  <c r="K26" i="14"/>
  <c r="M26" i="14" s="1"/>
  <c r="J25" i="14"/>
  <c r="M25" i="14" s="1"/>
  <c r="K24" i="14"/>
  <c r="M24" i="14" s="1"/>
  <c r="K23" i="14"/>
  <c r="M23" i="14" s="1"/>
  <c r="K22" i="14"/>
  <c r="M22" i="14" s="1"/>
  <c r="K21" i="14"/>
  <c r="M21" i="14" s="1"/>
  <c r="K20" i="14"/>
  <c r="M20" i="14" s="1"/>
  <c r="J17" i="14"/>
  <c r="M17" i="14" s="1"/>
  <c r="K16" i="14"/>
  <c r="M16" i="14" s="1"/>
  <c r="K15" i="14"/>
  <c r="M15" i="14" s="1"/>
  <c r="M14" i="14"/>
  <c r="K13" i="14"/>
  <c r="M13" i="14" s="1"/>
  <c r="K12" i="14"/>
  <c r="M12" i="14" s="1"/>
  <c r="K11" i="14"/>
  <c r="M11" i="14" s="1"/>
  <c r="H10" i="14"/>
  <c r="M10" i="14" s="1"/>
  <c r="J9" i="14"/>
  <c r="M9" i="14" s="1"/>
  <c r="H8" i="14"/>
  <c r="M8" i="14" s="1"/>
  <c r="H7" i="14"/>
  <c r="M7" i="14" s="1"/>
  <c r="K5" i="14"/>
  <c r="M5" i="14" s="1"/>
  <c r="J4" i="14"/>
  <c r="F3" i="14"/>
  <c r="K2" i="14"/>
  <c r="T52" i="9"/>
  <c r="T53" i="9"/>
  <c r="T54" i="9"/>
  <c r="L35" i="9"/>
  <c r="T35" i="9" s="1"/>
  <c r="L34" i="9"/>
  <c r="T34" i="9" s="1"/>
  <c r="F33" i="9"/>
  <c r="T33" i="9" s="1"/>
  <c r="K32" i="9"/>
  <c r="T32" i="9" s="1"/>
  <c r="J31" i="9"/>
  <c r="T31" i="9" s="1"/>
  <c r="S30" i="9"/>
  <c r="T30" i="9" s="1"/>
  <c r="F29" i="9"/>
  <c r="T29" i="9" s="1"/>
  <c r="K28" i="9"/>
  <c r="T28" i="9" s="1"/>
  <c r="K27" i="9"/>
  <c r="T27" i="9" s="1"/>
  <c r="I26" i="9"/>
  <c r="T26" i="9" s="1"/>
  <c r="I25" i="9"/>
  <c r="K24" i="9"/>
  <c r="T24" i="9" s="1"/>
  <c r="H23" i="9"/>
  <c r="T23" i="9" s="1"/>
  <c r="F22" i="9"/>
  <c r="T22" i="9" s="1"/>
  <c r="K21" i="9"/>
  <c r="T21" i="9" s="1"/>
  <c r="J20" i="9"/>
  <c r="K19" i="9"/>
  <c r="T19" i="9" s="1"/>
  <c r="K18" i="9"/>
  <c r="T18" i="9" s="1"/>
  <c r="K17" i="9"/>
  <c r="T17" i="9" s="1"/>
  <c r="K16" i="9"/>
  <c r="T16" i="9" s="1"/>
  <c r="K15" i="9"/>
  <c r="T15" i="9" s="1"/>
  <c r="K14" i="9"/>
  <c r="T14" i="9" s="1"/>
  <c r="L13" i="9"/>
  <c r="T13" i="9" s="1"/>
  <c r="S12" i="9"/>
  <c r="K11" i="9"/>
  <c r="T11" i="9" s="1"/>
  <c r="L10" i="9"/>
  <c r="T10" i="9" s="1"/>
  <c r="L9" i="9"/>
  <c r="T9" i="9" s="1"/>
  <c r="K8" i="9"/>
  <c r="T8" i="9" s="1"/>
  <c r="H7" i="9"/>
  <c r="K6" i="9"/>
  <c r="T6" i="9" s="1"/>
  <c r="K5" i="9"/>
  <c r="K55" i="9" s="1"/>
  <c r="L4" i="9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104" i="20"/>
  <c r="G80" i="20"/>
  <c r="G79" i="20"/>
  <c r="G78" i="20"/>
  <c r="G77" i="20"/>
  <c r="G76" i="20"/>
  <c r="G81" i="20" s="1"/>
  <c r="G105" i="20" s="1"/>
  <c r="H36" i="10"/>
  <c r="H35" i="10"/>
  <c r="G34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H10" i="10"/>
  <c r="G9" i="10"/>
  <c r="H8" i="10"/>
  <c r="G7" i="10"/>
  <c r="G6" i="10"/>
  <c r="H5" i="10"/>
  <c r="H54" i="10" s="1"/>
  <c r="G4" i="10"/>
  <c r="G3" i="10"/>
  <c r="G54" i="10" s="1"/>
  <c r="E57" i="10"/>
  <c r="F57" i="10"/>
  <c r="H57" i="10"/>
  <c r="E58" i="10"/>
  <c r="F58" i="10"/>
  <c r="F59" i="10"/>
  <c r="E60" i="10"/>
  <c r="F60" i="10"/>
  <c r="H60" i="10"/>
  <c r="F61" i="10"/>
  <c r="N12" i="1"/>
  <c r="J11" i="1"/>
  <c r="J10" i="1"/>
  <c r="J9" i="1"/>
  <c r="J8" i="1"/>
  <c r="K7" i="1"/>
  <c r="K6" i="1"/>
  <c r="K5" i="1"/>
  <c r="L4" i="1"/>
  <c r="J3" i="1"/>
  <c r="I2" i="1"/>
  <c r="J359" i="7"/>
  <c r="I263" i="8"/>
  <c r="H262" i="8"/>
  <c r="L261" i="8"/>
  <c r="G260" i="8"/>
  <c r="J259" i="8"/>
  <c r="J258" i="8"/>
  <c r="AG257" i="8"/>
  <c r="H256" i="8"/>
  <c r="H255" i="8"/>
  <c r="G254" i="8"/>
  <c r="H253" i="8"/>
  <c r="H252" i="8"/>
  <c r="K251" i="8"/>
  <c r="AK250" i="8"/>
  <c r="H249" i="8"/>
  <c r="AF248" i="8"/>
  <c r="J247" i="8"/>
  <c r="L246" i="8"/>
  <c r="G245" i="8"/>
  <c r="H244" i="8"/>
  <c r="K243" i="8"/>
  <c r="K242" i="8"/>
  <c r="H241" i="8"/>
  <c r="K240" i="8"/>
  <c r="G239" i="8"/>
  <c r="J238" i="8"/>
  <c r="AK237" i="8"/>
  <c r="AK236" i="8"/>
  <c r="K235" i="8"/>
  <c r="G234" i="8"/>
  <c r="I233" i="8"/>
  <c r="H232" i="8"/>
  <c r="H231" i="8"/>
  <c r="H230" i="8"/>
  <c r="K229" i="8"/>
  <c r="K228" i="8"/>
  <c r="K227" i="8"/>
  <c r="H226" i="8"/>
  <c r="G225" i="8"/>
  <c r="H224" i="8"/>
  <c r="H223" i="8"/>
  <c r="G222" i="8"/>
  <c r="G221" i="8"/>
  <c r="J220" i="8"/>
  <c r="G219" i="8"/>
  <c r="H218" i="8"/>
  <c r="H217" i="8"/>
  <c r="H216" i="8"/>
  <c r="H215" i="8"/>
  <c r="I214" i="8"/>
  <c r="H213" i="8"/>
  <c r="H212" i="8"/>
  <c r="H211" i="8"/>
  <c r="AB210" i="8"/>
  <c r="K209" i="8"/>
  <c r="H208" i="8"/>
  <c r="G207" i="8"/>
  <c r="G206" i="8"/>
  <c r="G205" i="8"/>
  <c r="H204" i="8"/>
  <c r="K203" i="8"/>
  <c r="H202" i="8"/>
  <c r="H201" i="8"/>
  <c r="H200" i="8"/>
  <c r="K199" i="8"/>
  <c r="K198" i="8"/>
  <c r="H197" i="8"/>
  <c r="H196" i="8"/>
  <c r="J195" i="8"/>
  <c r="G194" i="8"/>
  <c r="G193" i="8"/>
  <c r="H192" i="8"/>
  <c r="J191" i="8"/>
  <c r="H190" i="8"/>
  <c r="H189" i="8"/>
  <c r="G188" i="8"/>
  <c r="AI187" i="8"/>
  <c r="AF186" i="8"/>
  <c r="AK185" i="8"/>
  <c r="J184" i="8"/>
  <c r="AD183" i="8"/>
  <c r="H182" i="8"/>
  <c r="H181" i="8"/>
  <c r="H180" i="8"/>
  <c r="G179" i="8"/>
  <c r="K178" i="8"/>
  <c r="G177" i="8"/>
  <c r="J176" i="8"/>
  <c r="J175" i="8"/>
  <c r="J174" i="8"/>
  <c r="AE173" i="8"/>
  <c r="J172" i="8"/>
  <c r="H171" i="8"/>
  <c r="H170" i="8"/>
  <c r="L169" i="8"/>
  <c r="H168" i="8"/>
  <c r="H167" i="8"/>
  <c r="G166" i="8"/>
  <c r="K165" i="8"/>
  <c r="G164" i="8"/>
  <c r="I163" i="8"/>
  <c r="G162" i="8"/>
  <c r="J161" i="8"/>
  <c r="J160" i="8"/>
  <c r="AF159" i="8"/>
  <c r="H158" i="8"/>
  <c r="I157" i="8"/>
  <c r="G156" i="8"/>
  <c r="H155" i="8"/>
  <c r="N154" i="8"/>
  <c r="K153" i="8"/>
  <c r="I152" i="8"/>
  <c r="H151" i="8"/>
  <c r="K150" i="8"/>
  <c r="G149" i="8"/>
  <c r="H148" i="8"/>
  <c r="H147" i="8"/>
  <c r="K146" i="8"/>
  <c r="G145" i="8"/>
  <c r="K144" i="8"/>
  <c r="J143" i="8"/>
  <c r="G142" i="8"/>
  <c r="G141" i="8"/>
  <c r="I140" i="8"/>
  <c r="H139" i="8"/>
  <c r="G138" i="8"/>
  <c r="H137" i="8"/>
  <c r="AK136" i="8"/>
  <c r="J135" i="8"/>
  <c r="J134" i="8"/>
  <c r="J133" i="8"/>
  <c r="AF132" i="8"/>
  <c r="H131" i="8"/>
  <c r="H130" i="8"/>
  <c r="G129" i="8"/>
  <c r="H128" i="8"/>
  <c r="K127" i="8"/>
  <c r="G126" i="8"/>
  <c r="AK125" i="8"/>
  <c r="AK124" i="8"/>
  <c r="G123" i="8"/>
  <c r="G122" i="8"/>
  <c r="H121" i="8"/>
  <c r="J120" i="8"/>
  <c r="AI119" i="8"/>
  <c r="H118" i="8"/>
  <c r="H117" i="8"/>
  <c r="I116" i="8"/>
  <c r="G115" i="8"/>
  <c r="H114" i="8"/>
  <c r="K113" i="8"/>
  <c r="K112" i="8"/>
  <c r="AK111" i="8"/>
  <c r="AK110" i="8"/>
  <c r="H109" i="8"/>
  <c r="G108" i="8"/>
  <c r="G107" i="8"/>
  <c r="I106" i="8"/>
  <c r="H105" i="8"/>
  <c r="K104" i="8"/>
  <c r="J103" i="8"/>
  <c r="G102" i="8"/>
  <c r="H101" i="8"/>
  <c r="K100" i="8"/>
  <c r="G99" i="8"/>
  <c r="H98" i="8"/>
  <c r="G97" i="8"/>
  <c r="H96" i="8"/>
  <c r="H95" i="8"/>
  <c r="G94" i="8"/>
  <c r="G93" i="8"/>
  <c r="X92" i="8"/>
  <c r="AB91" i="8"/>
  <c r="H90" i="8"/>
  <c r="K89" i="8"/>
  <c r="J88" i="8"/>
  <c r="J87" i="8"/>
  <c r="H86" i="8"/>
  <c r="K85" i="8"/>
  <c r="H84" i="8"/>
  <c r="H83" i="8"/>
  <c r="G82" i="8"/>
  <c r="G81" i="8"/>
  <c r="K80" i="8"/>
  <c r="K79" i="8"/>
  <c r="K78" i="8"/>
  <c r="G77" i="8"/>
  <c r="J76" i="8"/>
  <c r="K75" i="8"/>
  <c r="AD74" i="8"/>
  <c r="G73" i="8"/>
  <c r="H72" i="8"/>
  <c r="I71" i="8"/>
  <c r="H70" i="8"/>
  <c r="G69" i="8"/>
  <c r="H68" i="8"/>
  <c r="H67" i="8"/>
  <c r="AF66" i="8"/>
  <c r="K65" i="8"/>
  <c r="AK64" i="8"/>
  <c r="X63" i="8"/>
  <c r="AE62" i="8"/>
  <c r="H61" i="8"/>
  <c r="AC60" i="8"/>
  <c r="V59" i="8"/>
  <c r="C463" i="8" s="1"/>
  <c r="L58" i="8"/>
  <c r="Z57" i="8"/>
  <c r="AA56" i="8"/>
  <c r="H55" i="8"/>
  <c r="H54" i="8"/>
  <c r="G53" i="8"/>
  <c r="H52" i="8"/>
  <c r="H51" i="8"/>
  <c r="J50" i="8"/>
  <c r="K49" i="8"/>
  <c r="H48" i="8"/>
  <c r="G47" i="8"/>
  <c r="G46" i="8"/>
  <c r="G45" i="8"/>
  <c r="G44" i="8"/>
  <c r="H43" i="8"/>
  <c r="J42" i="8"/>
  <c r="H41" i="8"/>
  <c r="H40" i="8"/>
  <c r="K39" i="8"/>
  <c r="H38" i="8"/>
  <c r="AK37" i="8"/>
  <c r="H36" i="8"/>
  <c r="AB35" i="8"/>
  <c r="G34" i="8"/>
  <c r="K33" i="8"/>
  <c r="K32" i="8"/>
  <c r="K31" i="8"/>
  <c r="H30" i="8"/>
  <c r="K29" i="8"/>
  <c r="H28" i="8"/>
  <c r="H27" i="8"/>
  <c r="AG26" i="8"/>
  <c r="G25" i="8"/>
  <c r="AK24" i="8"/>
  <c r="J23" i="8"/>
  <c r="H22" i="8"/>
  <c r="G21" i="8"/>
  <c r="H20" i="8"/>
  <c r="H19" i="8"/>
  <c r="K18" i="8"/>
  <c r="H17" i="8"/>
  <c r="W16" i="8"/>
  <c r="H15" i="8"/>
  <c r="J14" i="8"/>
  <c r="J13" i="8"/>
  <c r="K12" i="8"/>
  <c r="H11" i="8"/>
  <c r="G10" i="8"/>
  <c r="H9" i="8"/>
  <c r="K8" i="8"/>
  <c r="G7" i="8"/>
  <c r="G434" i="8" s="1"/>
  <c r="D439" i="8" s="1"/>
  <c r="D443" i="8" s="1"/>
  <c r="J6" i="8"/>
  <c r="H5" i="8"/>
  <c r="AF4" i="8"/>
  <c r="I3" i="8"/>
  <c r="K2" i="8"/>
  <c r="F369" i="7"/>
  <c r="K368" i="7"/>
  <c r="K367" i="7"/>
  <c r="K366" i="7"/>
  <c r="K365" i="7"/>
  <c r="K364" i="7"/>
  <c r="K363" i="7"/>
  <c r="K362" i="7"/>
  <c r="K361" i="7"/>
  <c r="K360" i="7"/>
  <c r="K358" i="7"/>
  <c r="K357" i="7"/>
  <c r="K356" i="7"/>
  <c r="K355" i="7"/>
  <c r="I354" i="7"/>
  <c r="K353" i="7"/>
  <c r="K352" i="7"/>
  <c r="F351" i="7"/>
  <c r="K350" i="7"/>
  <c r="K349" i="7"/>
  <c r="K348" i="7"/>
  <c r="H347" i="7"/>
  <c r="K346" i="7"/>
  <c r="F345" i="7"/>
  <c r="K344" i="7"/>
  <c r="K343" i="7"/>
  <c r="K342" i="7"/>
  <c r="K341" i="7"/>
  <c r="F340" i="7"/>
  <c r="K339" i="7"/>
  <c r="K338" i="7"/>
  <c r="K337" i="7"/>
  <c r="K336" i="7"/>
  <c r="K335" i="7"/>
  <c r="G334" i="7"/>
  <c r="G333" i="7"/>
  <c r="K332" i="7"/>
  <c r="K331" i="7"/>
  <c r="K330" i="7"/>
  <c r="H329" i="7"/>
  <c r="H328" i="7"/>
  <c r="K327" i="7"/>
  <c r="K325" i="7"/>
  <c r="G324" i="7"/>
  <c r="F323" i="7"/>
  <c r="K322" i="7"/>
  <c r="K321" i="7"/>
  <c r="G320" i="7"/>
  <c r="K319" i="7"/>
  <c r="K318" i="7"/>
  <c r="K317" i="7"/>
  <c r="K316" i="7"/>
  <c r="I315" i="7"/>
  <c r="K314" i="7"/>
  <c r="K313" i="7"/>
  <c r="K312" i="7"/>
  <c r="K311" i="7"/>
  <c r="F310" i="7"/>
  <c r="K309" i="7"/>
  <c r="K308" i="7"/>
  <c r="K307" i="7"/>
  <c r="K306" i="7"/>
  <c r="K305" i="7"/>
  <c r="H304" i="7"/>
  <c r="K303" i="7"/>
  <c r="K302" i="7"/>
  <c r="F301" i="7"/>
  <c r="K300" i="7"/>
  <c r="K299" i="7"/>
  <c r="K298" i="7"/>
  <c r="K297" i="7"/>
  <c r="I296" i="7"/>
  <c r="K295" i="7"/>
  <c r="K294" i="7"/>
  <c r="K293" i="7"/>
  <c r="K292" i="7"/>
  <c r="K291" i="7"/>
  <c r="K290" i="7"/>
  <c r="K289" i="7"/>
  <c r="F288" i="7"/>
  <c r="K287" i="7"/>
  <c r="H286" i="7"/>
  <c r="K285" i="7"/>
  <c r="F284" i="7"/>
  <c r="K283" i="7"/>
  <c r="K282" i="7"/>
  <c r="K281" i="7"/>
  <c r="F280" i="7"/>
  <c r="J279" i="7"/>
  <c r="K278" i="7"/>
  <c r="K277" i="7"/>
  <c r="K276" i="7"/>
  <c r="F275" i="7"/>
  <c r="K274" i="7"/>
  <c r="K273" i="7"/>
  <c r="K272" i="7"/>
  <c r="K271" i="7"/>
  <c r="K270" i="7"/>
  <c r="K269" i="7"/>
  <c r="K268" i="7"/>
  <c r="F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I251" i="7"/>
  <c r="F250" i="7"/>
  <c r="K249" i="7"/>
  <c r="F248" i="7"/>
  <c r="F247" i="7"/>
  <c r="K246" i="7"/>
  <c r="K245" i="7"/>
  <c r="K244" i="7"/>
  <c r="H243" i="7"/>
  <c r="K242" i="7"/>
  <c r="K241" i="7"/>
  <c r="K240" i="7"/>
  <c r="K239" i="7"/>
  <c r="K238" i="7"/>
  <c r="K237" i="7"/>
  <c r="K236" i="7"/>
  <c r="K235" i="7"/>
  <c r="K234" i="7"/>
  <c r="I233" i="7"/>
  <c r="F232" i="7"/>
  <c r="K231" i="7"/>
  <c r="K230" i="7"/>
  <c r="H229" i="7"/>
  <c r="K228" i="7"/>
  <c r="K227" i="7"/>
  <c r="J226" i="7"/>
  <c r="K225" i="7"/>
  <c r="K224" i="7"/>
  <c r="K223" i="7"/>
  <c r="K222" i="7"/>
  <c r="K221" i="7"/>
  <c r="K220" i="7"/>
  <c r="K219" i="7"/>
  <c r="K218" i="7"/>
  <c r="K217" i="7"/>
  <c r="F216" i="7"/>
  <c r="K215" i="7"/>
  <c r="K214" i="7"/>
  <c r="K213" i="7"/>
  <c r="K212" i="7"/>
  <c r="K211" i="7"/>
  <c r="K210" i="7"/>
  <c r="H209" i="7"/>
  <c r="K208" i="7"/>
  <c r="K207" i="7"/>
  <c r="K206" i="7"/>
  <c r="K205" i="7"/>
  <c r="K204" i="7"/>
  <c r="K203" i="7"/>
  <c r="F202" i="7"/>
  <c r="K201" i="7"/>
  <c r="K200" i="7"/>
  <c r="K199" i="7"/>
  <c r="I198" i="7"/>
  <c r="K197" i="7"/>
  <c r="H196" i="7"/>
  <c r="K195" i="7"/>
  <c r="K194" i="7"/>
  <c r="K193" i="7"/>
  <c r="K192" i="7"/>
  <c r="K191" i="7"/>
  <c r="K190" i="7"/>
  <c r="K189" i="7"/>
  <c r="K188" i="7"/>
  <c r="K187" i="7"/>
  <c r="K186" i="7"/>
  <c r="K185" i="7"/>
  <c r="G184" i="7"/>
  <c r="I183" i="7"/>
  <c r="I182" i="7"/>
  <c r="K181" i="7"/>
  <c r="K180" i="7"/>
  <c r="F179" i="7"/>
  <c r="K178" i="7"/>
  <c r="K177" i="7"/>
  <c r="F176" i="7"/>
  <c r="K175" i="7"/>
  <c r="K174" i="7"/>
  <c r="K173" i="7"/>
  <c r="K172" i="7"/>
  <c r="H171" i="7"/>
  <c r="K170" i="7"/>
  <c r="K169" i="7"/>
  <c r="K168" i="7"/>
  <c r="K167" i="7"/>
  <c r="K166" i="7"/>
  <c r="G165" i="7"/>
  <c r="G589" i="7" s="1"/>
  <c r="K164" i="7"/>
  <c r="K163" i="7"/>
  <c r="K162" i="7"/>
  <c r="K161" i="7"/>
  <c r="K160" i="7"/>
  <c r="I159" i="7"/>
  <c r="K158" i="7"/>
  <c r="K157" i="7"/>
  <c r="K156" i="7"/>
  <c r="K155" i="7"/>
  <c r="F154" i="7"/>
  <c r="K153" i="7"/>
  <c r="H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H134" i="7"/>
  <c r="K133" i="7"/>
  <c r="K132" i="7"/>
  <c r="K131" i="7"/>
  <c r="K130" i="7"/>
  <c r="K129" i="7"/>
  <c r="J128" i="7"/>
  <c r="J589" i="7" s="1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I114" i="7"/>
  <c r="K113" i="7"/>
  <c r="K112" i="7"/>
  <c r="K111" i="7"/>
  <c r="F110" i="7"/>
  <c r="K109" i="7"/>
  <c r="K108" i="7"/>
  <c r="K107" i="7"/>
  <c r="F106" i="7"/>
  <c r="H105" i="7"/>
  <c r="K104" i="7"/>
  <c r="K103" i="7"/>
  <c r="I102" i="7"/>
  <c r="K101" i="7"/>
  <c r="I100" i="7"/>
  <c r="I99" i="7"/>
  <c r="K98" i="7"/>
  <c r="K97" i="7"/>
  <c r="K96" i="7"/>
  <c r="K95" i="7"/>
  <c r="K94" i="7"/>
  <c r="K93" i="7"/>
  <c r="F92" i="7"/>
  <c r="K91" i="7"/>
  <c r="K90" i="7"/>
  <c r="K89" i="7"/>
  <c r="K88" i="7"/>
  <c r="H87" i="7"/>
  <c r="K86" i="7"/>
  <c r="K85" i="7"/>
  <c r="K84" i="7"/>
  <c r="K83" i="7"/>
  <c r="K82" i="7"/>
  <c r="K81" i="7"/>
  <c r="K80" i="7"/>
  <c r="K79" i="7"/>
  <c r="K78" i="7"/>
  <c r="K77" i="7"/>
  <c r="K76" i="7"/>
  <c r="K75" i="7"/>
  <c r="I74" i="7"/>
  <c r="K73" i="7"/>
  <c r="K72" i="7"/>
  <c r="K71" i="7"/>
  <c r="K70" i="7"/>
  <c r="K69" i="7"/>
  <c r="K68" i="7"/>
  <c r="H67" i="7"/>
  <c r="K66" i="7"/>
  <c r="K65" i="7"/>
  <c r="K64" i="7"/>
  <c r="K63" i="7"/>
  <c r="K62" i="7"/>
  <c r="K61" i="7"/>
  <c r="K60" i="7"/>
  <c r="K59" i="7"/>
  <c r="K58" i="7"/>
  <c r="F57" i="7"/>
  <c r="H56" i="7"/>
  <c r="K55" i="7"/>
  <c r="H54" i="7"/>
  <c r="H53" i="7"/>
  <c r="K52" i="7"/>
  <c r="K51" i="7"/>
  <c r="K50" i="7"/>
  <c r="K49" i="7"/>
  <c r="I48" i="7"/>
  <c r="K47" i="7"/>
  <c r="K46" i="7"/>
  <c r="K45" i="7"/>
  <c r="F44" i="7"/>
  <c r="K43" i="7"/>
  <c r="K42" i="7"/>
  <c r="K41" i="7"/>
  <c r="K40" i="7"/>
  <c r="H39" i="7"/>
  <c r="K38" i="7"/>
  <c r="K37" i="7"/>
  <c r="K36" i="7"/>
  <c r="K35" i="7"/>
  <c r="K34" i="7"/>
  <c r="K33" i="7"/>
  <c r="K32" i="7"/>
  <c r="I31" i="7"/>
  <c r="K30" i="7"/>
  <c r="K29" i="7"/>
  <c r="K28" i="7"/>
  <c r="K27" i="7"/>
  <c r="H26" i="7"/>
  <c r="K25" i="7"/>
  <c r="K24" i="7"/>
  <c r="K23" i="7"/>
  <c r="K22" i="7"/>
  <c r="K21" i="7"/>
  <c r="K20" i="7"/>
  <c r="K19" i="7"/>
  <c r="K18" i="7"/>
  <c r="K17" i="7"/>
  <c r="K16" i="7"/>
  <c r="K15" i="7"/>
  <c r="I14" i="7"/>
  <c r="F13" i="7"/>
  <c r="K12" i="7"/>
  <c r="F11" i="7"/>
  <c r="I10" i="7"/>
  <c r="I589" i="7" s="1"/>
  <c r="K9" i="7"/>
  <c r="K8" i="7"/>
  <c r="H7" i="7"/>
  <c r="H589" i="7" s="1"/>
  <c r="K6" i="7"/>
  <c r="K5" i="7"/>
  <c r="K4" i="7"/>
  <c r="K3" i="7"/>
  <c r="K2" i="7"/>
  <c r="K589" i="7" s="1"/>
  <c r="B441" i="8" s="1"/>
  <c r="C89" i="16"/>
  <c r="B37" i="17"/>
  <c r="B38" i="17"/>
  <c r="B39" i="17"/>
  <c r="B40" i="17"/>
  <c r="B36" i="17"/>
  <c r="F41" i="17"/>
  <c r="K434" i="8" l="1"/>
  <c r="C451" i="8" s="1"/>
  <c r="I434" i="8"/>
  <c r="C449" i="8" s="1"/>
  <c r="AF434" i="8"/>
  <c r="C471" i="8" s="1"/>
  <c r="H434" i="8"/>
  <c r="C448" i="8" s="1"/>
  <c r="J434" i="8"/>
  <c r="C450" i="8" s="1"/>
  <c r="W434" i="8"/>
  <c r="C459" i="8" s="1"/>
  <c r="AK434" i="8"/>
  <c r="C475" i="8" s="1"/>
  <c r="AG434" i="8"/>
  <c r="C470" i="8" s="1"/>
  <c r="AB434" i="8"/>
  <c r="C466" i="8" s="1"/>
  <c r="AA434" i="8"/>
  <c r="C465" i="8" s="1"/>
  <c r="Z434" i="8"/>
  <c r="C464" i="8" s="1"/>
  <c r="L434" i="8"/>
  <c r="C473" i="8" s="1"/>
  <c r="AC434" i="8"/>
  <c r="C452" i="8" s="1"/>
  <c r="AE434" i="8"/>
  <c r="H110" i="16" s="1"/>
  <c r="X434" i="8"/>
  <c r="C468" i="8" s="1"/>
  <c r="AD434" i="8"/>
  <c r="C472" i="8" s="1"/>
  <c r="AI434" i="8"/>
  <c r="C467" i="8" s="1"/>
  <c r="N434" i="8"/>
  <c r="C454" i="8" s="1"/>
  <c r="D96" i="19"/>
  <c r="F39" i="18"/>
  <c r="T4" i="9"/>
  <c r="L55" i="9"/>
  <c r="L59" i="9" s="1"/>
  <c r="T5" i="9"/>
  <c r="T7" i="9"/>
  <c r="H55" i="9"/>
  <c r="T12" i="9"/>
  <c r="S55" i="9"/>
  <c r="T20" i="9"/>
  <c r="J55" i="9"/>
  <c r="T25" i="9"/>
  <c r="I55" i="9"/>
  <c r="M6" i="14"/>
  <c r="M18" i="14"/>
  <c r="C436" i="8"/>
  <c r="C447" i="8"/>
  <c r="E25" i="16"/>
  <c r="F25" i="16"/>
  <c r="G25" i="16"/>
  <c r="D25" i="16"/>
  <c r="C107" i="16"/>
  <c r="C108" i="16"/>
  <c r="C111" i="16"/>
  <c r="C113" i="16"/>
  <c r="C116" i="16"/>
  <c r="C117" i="16"/>
  <c r="C28" i="16"/>
  <c r="C29" i="16"/>
  <c r="C37" i="16"/>
  <c r="C38" i="16"/>
  <c r="C40" i="16"/>
  <c r="C44" i="16"/>
  <c r="C45" i="16"/>
  <c r="C46" i="16"/>
  <c r="C47" i="16"/>
  <c r="C48" i="16"/>
  <c r="C49" i="16"/>
  <c r="C53" i="16"/>
  <c r="C54" i="16"/>
  <c r="C70" i="16"/>
  <c r="C75" i="16"/>
  <c r="C80" i="16"/>
  <c r="C81" i="16"/>
  <c r="C83" i="16"/>
  <c r="C85" i="16"/>
  <c r="C86" i="16"/>
  <c r="C87" i="16"/>
  <c r="C88" i="16"/>
  <c r="C91" i="16"/>
  <c r="C92" i="16"/>
  <c r="C93" i="16"/>
  <c r="C94" i="16"/>
  <c r="C95" i="16"/>
  <c r="C96" i="16"/>
  <c r="C97" i="16"/>
  <c r="C98" i="16"/>
  <c r="C99" i="16"/>
  <c r="C100" i="16"/>
  <c r="C102" i="16"/>
  <c r="C103" i="16"/>
  <c r="C104" i="16"/>
  <c r="C105" i="16"/>
  <c r="C106" i="16"/>
  <c r="C469" i="8" l="1"/>
  <c r="C476" i="8" s="1"/>
  <c r="C33" i="5"/>
  <c r="E32" i="17" l="1"/>
  <c r="D37" i="19"/>
  <c r="C126" i="9" l="1"/>
  <c r="F38" i="18" l="1"/>
  <c r="D91" i="19"/>
  <c r="B89" i="19"/>
  <c r="B88" i="19"/>
  <c r="B87" i="19"/>
  <c r="B86" i="19"/>
  <c r="B85" i="19"/>
  <c r="D93" i="19"/>
  <c r="D10" i="17" l="1"/>
  <c r="D13" i="17" s="1"/>
  <c r="E10" i="17"/>
  <c r="E13" i="17" s="1"/>
  <c r="E34" i="17" s="1"/>
  <c r="E41" i="17" s="1"/>
  <c r="C115" i="9" l="1"/>
  <c r="G47" i="20" l="1"/>
  <c r="D72" i="20" l="1"/>
  <c r="E72" i="20"/>
  <c r="F72" i="20"/>
  <c r="C72" i="20"/>
  <c r="G69" i="20"/>
  <c r="G70" i="20"/>
  <c r="G71" i="20"/>
  <c r="F40" i="18" l="1"/>
  <c r="F42" i="18"/>
  <c r="B60" i="19"/>
  <c r="B31" i="19"/>
  <c r="D31" i="19" l="1"/>
  <c r="D60" i="19"/>
  <c r="G62" i="20"/>
  <c r="G63" i="20"/>
  <c r="G64" i="20"/>
  <c r="G65" i="20"/>
  <c r="G66" i="20"/>
  <c r="G67" i="20"/>
  <c r="G68" i="20"/>
  <c r="D176" i="20"/>
  <c r="E176" i="20"/>
  <c r="F176" i="20"/>
  <c r="D71" i="19" l="1"/>
  <c r="F55" i="9"/>
  <c r="E184" i="14" l="1"/>
  <c r="L56" i="10" l="1"/>
  <c r="I16" i="1"/>
  <c r="C590" i="7"/>
  <c r="C176" i="20" l="1"/>
  <c r="D54" i="20"/>
  <c r="D73" i="20" s="1"/>
  <c r="E54" i="20"/>
  <c r="E73" i="20" s="1"/>
  <c r="F54" i="20"/>
  <c r="F73" i="20" s="1"/>
  <c r="C54" i="20"/>
  <c r="D48" i="20"/>
  <c r="E48" i="20"/>
  <c r="F48" i="20"/>
  <c r="C48" i="20"/>
  <c r="G48" i="20" s="1"/>
  <c r="C28" i="20"/>
  <c r="G61" i="20"/>
  <c r="G60" i="20"/>
  <c r="G59" i="20"/>
  <c r="G58" i="20"/>
  <c r="G57" i="20"/>
  <c r="G56" i="20"/>
  <c r="G72" i="20" s="1"/>
  <c r="G53" i="20"/>
  <c r="G52" i="20"/>
  <c r="G51" i="20"/>
  <c r="G54" i="20" l="1"/>
  <c r="G73" i="20" s="1"/>
  <c r="C73" i="20"/>
  <c r="M4" i="14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C55" i="9"/>
  <c r="D56" i="9"/>
  <c r="C61" i="9"/>
  <c r="C62" i="9"/>
  <c r="C63" i="9"/>
  <c r="C69" i="9"/>
  <c r="C70" i="9"/>
  <c r="C81" i="9"/>
  <c r="D36" i="9" l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M3" i="14"/>
  <c r="C18" i="3"/>
  <c r="C64" i="9"/>
  <c r="C71" i="9"/>
  <c r="C66" i="9"/>
  <c r="C65" i="9"/>
  <c r="F18" i="1"/>
  <c r="F19" i="1"/>
  <c r="H19" i="1"/>
  <c r="K19" i="1"/>
  <c r="F20" i="1"/>
  <c r="N23" i="1"/>
  <c r="C43" i="16"/>
  <c r="F589" i="7"/>
  <c r="H21" i="1"/>
  <c r="L589" i="7"/>
  <c r="N589" i="7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T55" i="9" l="1"/>
  <c r="D539" i="7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H26" i="16"/>
  <c r="C16" i="3"/>
  <c r="C68" i="9"/>
  <c r="C67" i="9"/>
  <c r="C72" i="9" s="1"/>
  <c r="H27" i="16"/>
  <c r="F36" i="16"/>
  <c r="F35" i="16"/>
  <c r="F34" i="16"/>
  <c r="F33" i="16"/>
  <c r="F32" i="16"/>
  <c r="F31" i="16"/>
  <c r="F30" i="16"/>
  <c r="D178" i="14" l="1"/>
  <c r="D32" i="17" l="1"/>
  <c r="D34" i="17" s="1"/>
  <c r="D41" i="17" s="1"/>
  <c r="C32" i="17"/>
  <c r="D92" i="19" l="1"/>
  <c r="D82" i="19" l="1"/>
  <c r="D81" i="19"/>
  <c r="C203" i="9" l="1"/>
  <c r="C205" i="9"/>
  <c r="C196" i="9"/>
  <c r="C188" i="9"/>
  <c r="C187" i="9"/>
  <c r="C184" i="9"/>
  <c r="C181" i="9"/>
  <c r="C197" i="9" s="1"/>
  <c r="C166" i="9"/>
  <c r="C175" i="9"/>
  <c r="C154" i="9"/>
  <c r="C152" i="9"/>
  <c r="C156" i="9"/>
  <c r="H101" i="16"/>
  <c r="C101" i="16" s="1"/>
  <c r="G31" i="20"/>
  <c r="C35" i="20"/>
  <c r="C49" i="20" s="1"/>
  <c r="G46" i="20"/>
  <c r="D35" i="20"/>
  <c r="D49" i="20" s="1"/>
  <c r="E35" i="20"/>
  <c r="E49" i="20" s="1"/>
  <c r="F35" i="20"/>
  <c r="F49" i="20" s="1"/>
  <c r="G25" i="20" l="1"/>
  <c r="G45" i="20" l="1"/>
  <c r="G44" i="20"/>
  <c r="G43" i="20"/>
  <c r="G42" i="20"/>
  <c r="G41" i="20"/>
  <c r="G33" i="20"/>
  <c r="G40" i="20"/>
  <c r="G39" i="20"/>
  <c r="G38" i="20"/>
  <c r="G32" i="20"/>
  <c r="G37" i="20"/>
  <c r="G35" i="20"/>
  <c r="G49" i="20" s="1"/>
  <c r="H9" i="16" l="1"/>
  <c r="B74" i="19"/>
  <c r="D74" i="19" s="1"/>
  <c r="B76" i="19" l="1"/>
  <c r="D28" i="20"/>
  <c r="E28" i="20"/>
  <c r="F28" i="20"/>
  <c r="G27" i="20"/>
  <c r="G26" i="20"/>
  <c r="G24" i="20"/>
  <c r="G23" i="20"/>
  <c r="G22" i="20"/>
  <c r="F20" i="20"/>
  <c r="F29" i="20" s="1"/>
  <c r="E20" i="20"/>
  <c r="E29" i="20" s="1"/>
  <c r="D20" i="20"/>
  <c r="D29" i="20" s="1"/>
  <c r="C20" i="20"/>
  <c r="C29" i="20" s="1"/>
  <c r="G19" i="20"/>
  <c r="G18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2" i="20"/>
  <c r="G161" i="20"/>
  <c r="G160" i="20"/>
  <c r="G159" i="20"/>
  <c r="G158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0" i="20"/>
  <c r="G139" i="20"/>
  <c r="G137" i="20"/>
  <c r="G136" i="20"/>
  <c r="G135" i="20"/>
  <c r="G134" i="20"/>
  <c r="G133" i="20"/>
  <c r="G131" i="20"/>
  <c r="G130" i="20"/>
  <c r="G129" i="20"/>
  <c r="G128" i="20"/>
  <c r="G126" i="20"/>
  <c r="G125" i="20"/>
  <c r="G124" i="20"/>
  <c r="G123" i="20"/>
  <c r="G122" i="20"/>
  <c r="G121" i="20"/>
  <c r="G120" i="20"/>
  <c r="G119" i="20"/>
  <c r="G118" i="20"/>
  <c r="G116" i="20"/>
  <c r="G115" i="20"/>
  <c r="G113" i="20"/>
  <c r="G111" i="20"/>
  <c r="G176" i="20" s="1"/>
  <c r="E15" i="20"/>
  <c r="C15" i="20"/>
  <c r="G14" i="20"/>
  <c r="G13" i="20"/>
  <c r="G12" i="20"/>
  <c r="G11" i="20"/>
  <c r="G10" i="20"/>
  <c r="G9" i="20"/>
  <c r="G8" i="20"/>
  <c r="G7" i="20"/>
  <c r="F5" i="20"/>
  <c r="E5" i="20"/>
  <c r="E16" i="20" s="1"/>
  <c r="D5" i="20"/>
  <c r="D16" i="20" s="1"/>
  <c r="C5" i="20"/>
  <c r="C16" i="20" s="1"/>
  <c r="G4" i="20"/>
  <c r="G3" i="20"/>
  <c r="C107" i="20" l="1"/>
  <c r="C178" i="20" s="1"/>
  <c r="D107" i="20"/>
  <c r="D178" i="20" s="1"/>
  <c r="E107" i="20"/>
  <c r="E178" i="20" s="1"/>
  <c r="G28" i="20"/>
  <c r="G20" i="20"/>
  <c r="G29" i="20" s="1"/>
  <c r="G5" i="20"/>
  <c r="F15" i="20"/>
  <c r="F16" i="20" s="1"/>
  <c r="G15" i="20"/>
  <c r="F107" i="20" l="1"/>
  <c r="F178" i="20" s="1"/>
  <c r="G16" i="20"/>
  <c r="C10" i="17"/>
  <c r="G107" i="20" l="1"/>
  <c r="G178" i="20" s="1"/>
  <c r="C13" i="17"/>
  <c r="C34" i="17" s="1"/>
  <c r="C41" i="17" s="1"/>
  <c r="B29" i="19"/>
  <c r="D29" i="19"/>
  <c r="C46" i="18" l="1"/>
  <c r="F29" i="18"/>
  <c r="C29" i="18"/>
  <c r="F30" i="18" l="1"/>
  <c r="B19" i="19"/>
  <c r="B20" i="19"/>
  <c r="C38" i="18" s="1"/>
  <c r="D34" i="19" l="1"/>
  <c r="C90" i="16"/>
  <c r="D27" i="16"/>
  <c r="C27" i="16" s="1"/>
  <c r="D26" i="16"/>
  <c r="C26" i="16" s="1"/>
  <c r="B77" i="19" l="1"/>
  <c r="C51" i="16" l="1"/>
  <c r="L2" i="7"/>
  <c r="B57" i="19" l="1"/>
  <c r="F41" i="18" s="1"/>
  <c r="E181" i="14"/>
  <c r="D57" i="19"/>
  <c r="H76" i="16"/>
  <c r="C76" i="16" s="1"/>
  <c r="C56" i="3" l="1"/>
  <c r="C55" i="3"/>
  <c r="B56" i="19" l="1"/>
  <c r="C56" i="18" s="1"/>
  <c r="E178" i="14"/>
  <c r="C611" i="7" s="1"/>
  <c r="B55" i="19"/>
  <c r="D55" i="19" s="1"/>
  <c r="E183" i="14"/>
  <c r="G30" i="17"/>
  <c r="B30" i="17" s="1"/>
  <c r="D56" i="19" l="1"/>
  <c r="E180" i="14"/>
  <c r="D51" i="19"/>
  <c r="C45" i="19"/>
  <c r="C46" i="19"/>
  <c r="C47" i="19"/>
  <c r="C48" i="19"/>
  <c r="C49" i="19"/>
  <c r="C44" i="19"/>
  <c r="B21" i="19"/>
  <c r="B22" i="19" l="1"/>
  <c r="D22" i="19" s="1"/>
  <c r="C98" i="19"/>
  <c r="H602" i="7" l="1"/>
  <c r="C100" i="9"/>
  <c r="C8" i="3" l="1"/>
  <c r="B18" i="19" l="1"/>
  <c r="C606" i="7" l="1"/>
  <c r="D602" i="7" l="1"/>
  <c r="E602" i="7"/>
  <c r="H6" i="16" l="1"/>
  <c r="H8" i="16"/>
  <c r="H10" i="16"/>
  <c r="H71" i="16"/>
  <c r="C71" i="16" s="1"/>
  <c r="H5" i="16" l="1"/>
  <c r="H52" i="16"/>
  <c r="C52" i="16" s="1"/>
  <c r="H69" i="16"/>
  <c r="C69" i="16" s="1"/>
  <c r="H31" i="16"/>
  <c r="C31" i="16" s="1"/>
  <c r="D52" i="19"/>
  <c r="B75" i="19"/>
  <c r="B59" i="19"/>
  <c r="F46" i="18" s="1"/>
  <c r="B8" i="19"/>
  <c r="H115" i="16"/>
  <c r="C115" i="16" s="1"/>
  <c r="C37" i="18" l="1"/>
  <c r="G31" i="17"/>
  <c r="B31" i="17" s="1"/>
  <c r="B54" i="19"/>
  <c r="D75" i="19"/>
  <c r="B73" i="19"/>
  <c r="B5" i="19"/>
  <c r="H7" i="16"/>
  <c r="D59" i="19"/>
  <c r="D70" i="19"/>
  <c r="B6" i="19"/>
  <c r="D73" i="19" l="1"/>
  <c r="D54" i="19"/>
  <c r="H18" i="16"/>
  <c r="B17" i="19" l="1"/>
  <c r="D17" i="19" s="1"/>
  <c r="H78" i="16"/>
  <c r="C78" i="16" s="1"/>
  <c r="H12" i="16"/>
  <c r="D65" i="19" l="1"/>
  <c r="D9" i="19"/>
  <c r="D77" i="19"/>
  <c r="G9" i="17"/>
  <c r="H11" i="16"/>
  <c r="D10" i="19" l="1"/>
  <c r="B9" i="19" s="1"/>
  <c r="B25" i="19"/>
  <c r="B106" i="19" s="1"/>
  <c r="G7" i="17"/>
  <c r="C36" i="18" l="1"/>
  <c r="H68" i="16"/>
  <c r="C68" i="16" s="1"/>
  <c r="H63" i="16"/>
  <c r="C63" i="16" s="1"/>
  <c r="H36" i="16"/>
  <c r="C36" i="16" s="1"/>
  <c r="D50" i="19"/>
  <c r="B50" i="19" s="1"/>
  <c r="G29" i="17"/>
  <c r="B29" i="17" s="1"/>
  <c r="G24" i="17"/>
  <c r="B24" i="17" s="1"/>
  <c r="H35" i="16" l="1"/>
  <c r="C35" i="16" s="1"/>
  <c r="H4" i="16" l="1"/>
  <c r="G69" i="10"/>
  <c r="G5" i="17"/>
  <c r="C4" i="16" l="1"/>
  <c r="H64" i="16"/>
  <c r="C64" i="16" s="1"/>
  <c r="H61" i="16"/>
  <c r="C61" i="16" s="1"/>
  <c r="H62" i="16"/>
  <c r="C62" i="16" s="1"/>
  <c r="H60" i="16"/>
  <c r="C60" i="16" s="1"/>
  <c r="H34" i="16"/>
  <c r="C34" i="16" s="1"/>
  <c r="H32" i="16"/>
  <c r="C32" i="16" s="1"/>
  <c r="H33" i="16"/>
  <c r="C33" i="16" s="1"/>
  <c r="C110" i="16"/>
  <c r="B5" i="17"/>
  <c r="B48" i="19"/>
  <c r="B33" i="19"/>
  <c r="G22" i="17"/>
  <c r="B22" i="17" s="1"/>
  <c r="G23" i="17"/>
  <c r="B23" i="17" s="1"/>
  <c r="B27" i="19"/>
  <c r="F36" i="18" s="1"/>
  <c r="E179" i="14"/>
  <c r="G12" i="17"/>
  <c r="B12" i="17" s="1"/>
  <c r="D33" i="19"/>
  <c r="G21" i="17"/>
  <c r="B21" i="17" s="1"/>
  <c r="G25" i="17"/>
  <c r="B25" i="17" s="1"/>
  <c r="B4" i="19" l="1"/>
  <c r="H67" i="16"/>
  <c r="C67" i="16" s="1"/>
  <c r="D27" i="19"/>
  <c r="B47" i="19"/>
  <c r="G28" i="17"/>
  <c r="B28" i="17" s="1"/>
  <c r="B24" i="19"/>
  <c r="H114" i="16"/>
  <c r="C114" i="16" s="1"/>
  <c r="B107" i="19" l="1"/>
  <c r="D4" i="19"/>
  <c r="H66" i="16"/>
  <c r="C66" i="16" s="1"/>
  <c r="D24" i="19"/>
  <c r="G27" i="17"/>
  <c r="B27" i="17" s="1"/>
  <c r="B83" i="19"/>
  <c r="C61" i="18" s="1"/>
  <c r="F35" i="18" l="1"/>
  <c r="H50" i="16"/>
  <c r="C50" i="16" s="1"/>
  <c r="B72" i="19"/>
  <c r="C49" i="18" s="1"/>
  <c r="D83" i="19"/>
  <c r="D72" i="19"/>
  <c r="B7" i="19" l="1"/>
  <c r="G6" i="17"/>
  <c r="H65" i="16" l="1"/>
  <c r="C65" i="16" s="1"/>
  <c r="H112" i="16"/>
  <c r="C112" i="16" s="1"/>
  <c r="B30" i="19"/>
  <c r="C53" i="18" s="1"/>
  <c r="G26" i="17"/>
  <c r="B26" i="17" s="1"/>
  <c r="D7" i="19"/>
  <c r="H30" i="16" l="1"/>
  <c r="C30" i="16" s="1"/>
  <c r="H59" i="16"/>
  <c r="C59" i="16" s="1"/>
  <c r="B32" i="19"/>
  <c r="B49" i="19"/>
  <c r="D30" i="19"/>
  <c r="H109" i="16"/>
  <c r="C109" i="16" s="1"/>
  <c r="E182" i="14"/>
  <c r="G11" i="17"/>
  <c r="G20" i="17"/>
  <c r="B20" i="17" s="1"/>
  <c r="D103" i="19" l="1"/>
  <c r="B11" i="17"/>
  <c r="B13" i="17" s="1"/>
  <c r="E185" i="14"/>
  <c r="C612" i="7"/>
  <c r="C615" i="7" s="1"/>
  <c r="H58" i="16"/>
  <c r="C58" i="16" s="1"/>
  <c r="H77" i="16"/>
  <c r="C77" i="16" s="1"/>
  <c r="H57" i="16"/>
  <c r="C57" i="16" s="1"/>
  <c r="B46" i="19"/>
  <c r="B45" i="19"/>
  <c r="D64" i="19"/>
  <c r="B64" i="19" s="1"/>
  <c r="C52" i="18" s="1"/>
  <c r="B26" i="19"/>
  <c r="D26" i="19"/>
  <c r="H42" i="16"/>
  <c r="C42" i="16" s="1"/>
  <c r="G19" i="17"/>
  <c r="B19" i="17" s="1"/>
  <c r="D32" i="19"/>
  <c r="G18" i="17"/>
  <c r="B18" i="17" s="1"/>
  <c r="H79" i="16" l="1"/>
  <c r="C79" i="16" s="1"/>
  <c r="H56" i="16"/>
  <c r="C56" i="16" s="1"/>
  <c r="H55" i="16"/>
  <c r="C55" i="16" s="1"/>
  <c r="D43" i="19"/>
  <c r="B42" i="19" s="1"/>
  <c r="B44" i="19"/>
  <c r="D44" i="19" s="1"/>
  <c r="D69" i="19"/>
  <c r="B69" i="19" s="1"/>
  <c r="G16" i="17"/>
  <c r="B16" i="17" s="1"/>
  <c r="C54" i="18"/>
  <c r="G17" i="17"/>
  <c r="B17" i="17" s="1"/>
  <c r="C34" i="3"/>
  <c r="C36" i="3" l="1"/>
  <c r="C32" i="3"/>
  <c r="C43" i="3"/>
  <c r="C33" i="3"/>
  <c r="C35" i="3"/>
  <c r="C37" i="3"/>
  <c r="C44" i="3"/>
  <c r="C47" i="3" l="1"/>
  <c r="C50" i="3" l="1"/>
  <c r="C614" i="7" l="1"/>
  <c r="C38" i="3" l="1"/>
  <c r="F63" i="10" l="1"/>
  <c r="C14" i="3" l="1"/>
  <c r="E63" i="10" l="1"/>
  <c r="C13" i="3" l="1"/>
  <c r="G602" i="7" l="1"/>
  <c r="C6" i="3" s="1"/>
  <c r="H22" i="5" l="1"/>
  <c r="H29" i="5" s="1"/>
  <c r="H16" i="16" s="1"/>
  <c r="B14" i="19" s="1"/>
  <c r="C613" i="7"/>
  <c r="C607" i="7" l="1"/>
  <c r="C608" i="7"/>
  <c r="C21" i="3"/>
  <c r="D618" i="7" l="1"/>
  <c r="C54" i="3" l="1"/>
  <c r="C52" i="3" l="1"/>
  <c r="H41" i="16" l="1"/>
  <c r="C48" i="3"/>
  <c r="M22" i="5"/>
  <c r="C41" i="16" l="1"/>
  <c r="D35" i="19" s="1"/>
  <c r="G15" i="17"/>
  <c r="B15" i="17" s="1"/>
  <c r="B32" i="17" s="1"/>
  <c r="H26" i="5"/>
  <c r="H15" i="16" s="1"/>
  <c r="D107" i="19" l="1"/>
  <c r="D98" i="19"/>
  <c r="G32" i="17"/>
  <c r="B34" i="19"/>
  <c r="B13" i="19"/>
  <c r="C22" i="3"/>
  <c r="D104" i="19" l="1"/>
  <c r="B98" i="19"/>
  <c r="M11" i="5"/>
  <c r="H28" i="5" s="1"/>
  <c r="H14" i="16" s="1"/>
  <c r="B12" i="19" l="1"/>
  <c r="C20" i="3"/>
  <c r="C3" i="3" l="1"/>
  <c r="C15" i="3" l="1"/>
  <c r="C42" i="3" l="1"/>
  <c r="C39" i="3"/>
  <c r="C46" i="3"/>
  <c r="C57" i="3"/>
  <c r="C28" i="3"/>
  <c r="C29" i="3"/>
  <c r="C27" i="3"/>
  <c r="C51" i="3" l="1"/>
  <c r="C49" i="3"/>
  <c r="C40" i="3"/>
  <c r="C45" i="3"/>
  <c r="C31" i="3"/>
  <c r="C41" i="3"/>
  <c r="C53" i="3"/>
  <c r="C30" i="3"/>
  <c r="C26" i="3"/>
  <c r="D26" i="3" l="1"/>
  <c r="F602" i="7" l="1"/>
  <c r="C9" i="3" s="1"/>
  <c r="C602" i="7" l="1"/>
  <c r="C604" i="7" s="1"/>
  <c r="D4" i="3" s="1"/>
  <c r="C5" i="3" l="1"/>
  <c r="C7" i="3"/>
  <c r="H11" i="5" l="1"/>
  <c r="H25" i="5"/>
  <c r="H13" i="16" s="1"/>
  <c r="H27" i="5" l="1"/>
  <c r="H17" i="16"/>
  <c r="B11" i="19"/>
  <c r="C23" i="3"/>
  <c r="C19" i="3"/>
  <c r="H25" i="16" l="1"/>
  <c r="C25" i="16"/>
  <c r="G8" i="17"/>
  <c r="H30" i="5"/>
  <c r="G10" i="17" l="1"/>
  <c r="G13" i="17" s="1"/>
  <c r="G34" i="17" s="1"/>
  <c r="B34" i="17" s="1"/>
  <c r="B15" i="19"/>
  <c r="C35" i="18" s="1"/>
  <c r="D13" i="3"/>
  <c r="C58" i="3" s="1"/>
  <c r="C62" i="3" s="1"/>
  <c r="C62" i="18" l="1"/>
  <c r="D11" i="19"/>
  <c r="G41" i="17" l="1"/>
  <c r="B41" i="17"/>
  <c r="F53" i="18"/>
  <c r="F62" i="18" s="1"/>
  <c r="F63" i="18" l="1"/>
  <c r="E102" i="19" l="1"/>
</calcChain>
</file>

<file path=xl/sharedStrings.xml><?xml version="1.0" encoding="utf-8"?>
<sst xmlns="http://schemas.openxmlformats.org/spreadsheetml/2006/main" count="4047" uniqueCount="1491">
  <si>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</si>
  <si>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</si>
  <si>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</si>
  <si>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</si>
  <si>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</si>
  <si>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</si>
  <si>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</si>
  <si>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</si>
  <si>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</si>
  <si>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</si>
  <si>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</si>
  <si>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</si>
  <si>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</si>
  <si>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</si>
  <si>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</si>
  <si>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</si>
  <si>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</si>
  <si>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</si>
  <si>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</si>
  <si>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</si>
  <si>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</si>
  <si>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</si>
  <si>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</si>
  <si>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</si>
  <si>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</si>
  <si>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</si>
  <si>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</si>
  <si>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</si>
  <si>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</si>
  <si>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</si>
  <si>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</si>
  <si>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</si>
  <si>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</si>
  <si>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</si>
  <si>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</si>
  <si>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</si>
  <si>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</si>
  <si>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</si>
  <si>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</si>
  <si>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</si>
  <si>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</si>
  <si>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</si>
  <si>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</si>
  <si>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</si>
  <si>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</si>
  <si>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</si>
  <si>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</si>
  <si>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</si>
  <si>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</si>
  <si>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</si>
  <si>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</si>
  <si>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</si>
  <si>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</si>
  <si>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</si>
  <si>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</si>
  <si>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No. Reservasi</t>
  </si>
  <si>
    <t>Tipe</t>
  </si>
  <si>
    <t xml:space="preserve">Invoice 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</si>
  <si>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</si>
  <si>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</si>
  <si>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</si>
  <si>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</si>
  <si>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</si>
  <si>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</si>
  <si>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</si>
  <si>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</si>
  <si>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</si>
  <si>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</si>
  <si>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</si>
  <si>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</si>
  <si>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</si>
  <si>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</si>
  <si>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</si>
  <si>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</si>
  <si>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</si>
  <si>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</si>
  <si>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</si>
  <si>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</si>
  <si>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</si>
  <si>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</si>
  <si>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</si>
  <si>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</si>
  <si>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</si>
  <si>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</si>
  <si>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</si>
  <si>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</si>
  <si>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</si>
  <si>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</si>
  <si>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</si>
  <si>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</si>
  <si>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</si>
  <si>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</si>
  <si>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</si>
  <si>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</si>
  <si>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</si>
  <si>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</si>
  <si>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</si>
  <si>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</si>
  <si>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</si>
  <si>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</si>
  <si>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</si>
  <si>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</si>
  <si>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BIAYA</t>
  </si>
  <si>
    <t>25</t>
  </si>
  <si>
    <t>26</t>
  </si>
  <si>
    <t>27</t>
  </si>
  <si>
    <t>28</t>
  </si>
  <si>
    <t>NOTE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</si>
  <si>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</si>
  <si>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</si>
  <si>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</si>
  <si>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</si>
  <si>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</si>
  <si>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</si>
  <si>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</si>
  <si>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</si>
  <si>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</si>
  <si>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</si>
  <si>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</si>
  <si>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</si>
  <si>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</si>
  <si>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</si>
  <si>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</si>
  <si>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</si>
  <si>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</si>
  <si>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</si>
  <si>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</si>
  <si>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</si>
  <si>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Storan Asri</t>
  </si>
  <si>
    <t>MUTASI FO + MUTASI TOKO</t>
  </si>
  <si>
    <t>DP Tamu 2</t>
  </si>
  <si>
    <t>Qty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</si>
  <si>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</si>
  <si>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</si>
  <si>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</si>
  <si>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</si>
  <si>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</si>
  <si>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</si>
  <si>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</si>
  <si>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29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</si>
  <si>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</si>
  <si>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</si>
  <si>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</si>
  <si>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</si>
  <si>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</si>
  <si>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</si>
  <si>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</si>
  <si>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</si>
  <si>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</si>
  <si>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</si>
  <si>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</si>
  <si>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</si>
  <si>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</si>
  <si>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KASBON ASRI GRAHA</t>
  </si>
  <si>
    <t>Type</t>
  </si>
  <si>
    <t>DP Group a/n SMK Walisongo Jakarta/Kemuning Tour (03689)BCA CI 10-12 DESEMBER 2023 / TF LITA SUPRIDA</t>
  </si>
  <si>
    <t>DP Group a/n Elang Tour Cirebon (03735)BCA CI 15-16 DESEMBER 2023 / TF MAULANA HELMI</t>
  </si>
  <si>
    <t>Invoice</t>
  </si>
  <si>
    <t xml:space="preserve"> MUTASI</t>
  </si>
  <si>
    <t>BNI EDC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</si>
  <si>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</si>
  <si>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</si>
  <si>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</si>
  <si>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</si>
  <si>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</si>
  <si>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</si>
  <si>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</si>
  <si>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</si>
  <si>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</si>
  <si>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 xml:space="preserve">DP Kamar Group a/n Ibu Iim/ MTS 1 Tasikmalaya (03891) CI 14-15 DESEMBER 2023 </t>
  </si>
  <si>
    <t xml:space="preserve">DP Kedua Group a/n GWYNFOR TnT (03896) CI 13-14 DESEMBER 2023 </t>
  </si>
  <si>
    <t>DP group an.Smk arif rahman hakim/Bp udin (03913) CI 3-5 DESEMBER 2023</t>
  </si>
  <si>
    <t>Dp group an.  Al mukhlisin/Bapak yusuf (03914) via bca CI 27-29 DESEMBER 2023 / TF LILIS RATNA DIANA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</si>
  <si>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</si>
  <si>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</si>
  <si>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</si>
  <si>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</si>
  <si>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</si>
  <si>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</si>
  <si>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an.Times Travel Banten (03994) BCA CI 16-18 DESEMBER 2023 / TF MIFTAHUN NAJIH</t>
  </si>
  <si>
    <t>Dp group an. zea tnt ( 04002) bca CI 18-19 DESEMBER 2023 / TF FIRMANSTAH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</si>
  <si>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</si>
  <si>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</si>
  <si>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</si>
  <si>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</si>
  <si>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AL mubarok TNT (04037) CI 20-21 DESEMBER 2023</t>
  </si>
  <si>
    <t>DP Group a/n Dinasty Jawi Tour (04046)BCA CI 31-1 JANUARI 2023 / TF FERY SANDRA</t>
  </si>
  <si>
    <t>Dp group an. Mts walisongo (04060) bca CI 14-15 DESEMBER 2023 / TF TRANUMI SUMBULANTIN</t>
  </si>
  <si>
    <t>CSR</t>
  </si>
  <si>
    <t>DP Group a/n Gemilang Tour Travel (04075)BCA CI 19-21 DESEMBER 2023 / TF SUNAR WIBOWO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</si>
  <si>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</si>
  <si>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</si>
  <si>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</si>
  <si>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</si>
  <si>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</si>
  <si>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Dp MEETING an. IWAPI ( 04109) BCA CI 1 DESEMBER 2023 / TF IDHA TRI ASTUTI</t>
  </si>
  <si>
    <t>DP Room a/n Hadi Tour Travel (04114) CI 23-25 DESEMBER 2023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</si>
  <si>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</si>
  <si>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</si>
  <si>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</si>
  <si>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DP GO Four Bee Tour (04140)via BCA CI 22-23 DESEMBER 2023 / TF INDRA FEBRIANTO</t>
  </si>
  <si>
    <t>Dp Meeting an. PRA Pandeyan ( 04145) CI 9 DESEMBER 2023</t>
  </si>
  <si>
    <t>PROJEK KANDANG</t>
  </si>
  <si>
    <t>Projek Kandang</t>
  </si>
  <si>
    <t>Renovasi MUSHOLAH</t>
  </si>
  <si>
    <t>Renovasi Musholah</t>
  </si>
  <si>
    <t>Project Kandang</t>
  </si>
  <si>
    <t>Dp Group an. Ponpes Al-Hidayah (04163) BCA CI 7-8 MEI 2024 / TF MUHAMMAD FAHMI</t>
  </si>
  <si>
    <t>Dp Group an. ZIA TnT ( 04165) BCA CI 26-27 DESEMBER 2023 / TF IYAN ROBAYANI</t>
  </si>
  <si>
    <t>Dp Group an. Aulia jaya Kusuma ( 04167) BCA CI 7-9 MEI 2024 / TF AULIA JAYA KUSUMA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</si>
  <si>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</si>
  <si>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</si>
  <si>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</si>
  <si>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DP Meeting Room a/n Ibu Heriyanti (04189)BCA CI 23 DESEMBER 2023 / TF HERIYANTI</t>
  </si>
  <si>
    <t>DP Group a/n SMP Al Ijtihad (04207) CI 5-7 MEI 2024</t>
  </si>
  <si>
    <t>Dp Lunch Transit ( 04222) bca CI 16 DESEMBER 2023 / TF ICHYA ULUMUDDIN</t>
  </si>
  <si>
    <t>Dp Group an. Sobat Wisata ( 04230) bca CI 26-27 DESEMBER 2023 / TF CAHYA GUMILAR</t>
  </si>
  <si>
    <t xml:space="preserve">DP Group a/n HDK Tour Travel (04252) CI 26-27 DESEMBER 2023 </t>
  </si>
  <si>
    <t>TAB WAJIB</t>
  </si>
  <si>
    <t>DP JANUARI 2024 via FO</t>
  </si>
  <si>
    <t>DP JANUARI 2024 via BCA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</si>
  <si>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</si>
  <si>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</si>
  <si>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</si>
  <si>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</si>
  <si>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</si>
  <si>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</si>
  <si>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</si>
  <si>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</si>
  <si>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DP room DLX R.206 a.n Reni diyah safitri (04265) CI 30-31 DESEMBER 2023 / TF DWI NUR KHAFIFAH</t>
  </si>
  <si>
    <t>BPR M</t>
  </si>
  <si>
    <t>Dp 2 Group an. Cakrawala ( 04296) bca CI 31-1 JANUARI 2024 / TF NURUL HUDA</t>
  </si>
  <si>
    <t>BERLANGGANAN</t>
  </si>
  <si>
    <t>RENOVASI SGH</t>
  </si>
  <si>
    <t>Tabungan BAT</t>
  </si>
  <si>
    <t>Tabungan THR</t>
  </si>
  <si>
    <t>NIKE</t>
  </si>
  <si>
    <t>HERY</t>
  </si>
  <si>
    <t>DP Group a/n Duta Wisata (04366)BCA CI 11-13 MEI 2024/ TF ARNALDO HENDRIX</t>
  </si>
  <si>
    <t>DP Group a/n SMP N Pabuaran (04365) BCA CI 15-16 MEI 2024 / TF SUMARNI</t>
  </si>
  <si>
    <t>ANGGER</t>
  </si>
  <si>
    <t>DP group a.n Ardiansyah TNT (04385) via BCA CI 01-02 JUNI 2024 / TF INTAN PERMATASARI</t>
  </si>
  <si>
    <t>DP Group a/n Bapak Iyos (04392)CI 16-17 MEI 2024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</si>
  <si>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</si>
  <si>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</si>
  <si>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</si>
  <si>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DP Group a/n Enha Travel Sidoarjo (04421)BCA CI 19-20 MEI 2024 / TF ABDUL RAHMAN</t>
  </si>
  <si>
    <t>Dp group a.n Muls tour travel (04431) via BCA CI 23-25 MEI 2024/TF ADI MULYADI P</t>
  </si>
  <si>
    <t>BUTIK</t>
  </si>
  <si>
    <t>Potongan Bunga Bank</t>
  </si>
  <si>
    <t>Mutasi ke FO</t>
  </si>
  <si>
    <t>DP Awal Buku 2024</t>
  </si>
  <si>
    <t>DP Juni 2023 via FO</t>
  </si>
  <si>
    <t>DP Juni 2023 via BCA</t>
  </si>
  <si>
    <t>SITI NUR ZAMANIAH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</si>
  <si>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</si>
  <si>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</si>
  <si>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</si>
  <si>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</si>
  <si>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</si>
  <si>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</si>
  <si>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November 2023 via FO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</si>
  <si>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</si>
  <si>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</si>
  <si>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</si>
  <si>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</si>
  <si>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</si>
  <si>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</si>
  <si>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</si>
  <si>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DP Group a/n Bp Anom (04438)BCA CI 07-08 JUNI 2024/ TF ANOM SUKAMTO</t>
  </si>
  <si>
    <t>SUB TOTAL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</si>
  <si>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</si>
  <si>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</si>
  <si>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</si>
  <si>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</si>
  <si>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</si>
  <si>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</si>
  <si>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</si>
  <si>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</si>
  <si>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</si>
  <si>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</si>
  <si>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</si>
  <si>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</si>
  <si>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</si>
  <si>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</si>
  <si>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</si>
  <si>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</si>
  <si>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</si>
  <si>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</si>
  <si>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</si>
  <si>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</si>
  <si>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</si>
  <si>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</si>
  <si>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</si>
  <si>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</si>
  <si>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</si>
  <si>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</si>
  <si>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</si>
  <si>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</si>
  <si>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</si>
  <si>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</si>
  <si>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</si>
  <si>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</si>
  <si>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</si>
  <si>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</si>
  <si>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</si>
  <si>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</si>
  <si>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</si>
  <si>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</si>
  <si>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</si>
  <si>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</si>
  <si>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</si>
  <si>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</si>
  <si>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</si>
  <si>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</si>
  <si>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</si>
  <si>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</si>
  <si>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</si>
  <si>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</si>
  <si>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>Biaya Gaji Asri Graha BCA Payroll</t>
  </si>
  <si>
    <t>Mutasi BCA ke GIRO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</si>
  <si>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</si>
  <si>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</si>
  <si>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</si>
  <si>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</si>
  <si>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</si>
  <si>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</si>
  <si>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</si>
  <si>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</si>
  <si>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Payment Piutang P Maryoto</t>
  </si>
  <si>
    <t>Deposito BPRS M</t>
  </si>
  <si>
    <t>Deposito BPRS DH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</si>
  <si>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</si>
  <si>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</si>
  <si>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</si>
  <si>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</si>
  <si>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</si>
  <si>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</si>
  <si>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</si>
  <si>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</si>
  <si>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</si>
  <si>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</si>
  <si>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</si>
  <si>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</si>
  <si>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 BCA ke FO</t>
  </si>
  <si>
    <t>Saldo Akhir</t>
  </si>
  <si>
    <t>Bunga Potong Pajak Dan Admin</t>
  </si>
  <si>
    <t>Biaya Resto</t>
  </si>
  <si>
    <t>Pendapatan OOD via BCA</t>
  </si>
  <si>
    <t>OOD Toko BCA</t>
  </si>
  <si>
    <t>Laba Rugi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</si>
  <si>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</si>
  <si>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</si>
  <si>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</si>
  <si>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</si>
  <si>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</si>
  <si>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</si>
  <si>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</si>
  <si>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</si>
  <si>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</si>
  <si>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</si>
  <si>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</si>
  <si>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</si>
  <si>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</si>
  <si>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</si>
  <si>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</si>
  <si>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</si>
  <si>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</si>
  <si>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</si>
  <si>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</si>
  <si>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</si>
  <si>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</si>
  <si>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</si>
  <si>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</si>
  <si>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</si>
  <si>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</si>
  <si>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</si>
  <si>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</si>
  <si>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</si>
  <si>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</si>
  <si>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</si>
  <si>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</si>
  <si>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</si>
  <si>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</si>
  <si>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</si>
  <si>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</si>
  <si>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</si>
  <si>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</si>
  <si>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</si>
  <si>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</si>
  <si>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</si>
  <si>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</si>
  <si>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</si>
  <si>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</si>
  <si>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</si>
  <si>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</si>
  <si>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</si>
  <si>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</si>
  <si>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</si>
  <si>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</si>
  <si>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</si>
  <si>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</si>
  <si>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</si>
  <si>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</si>
  <si>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BCA GIRO 2</t>
  </si>
  <si>
    <t>BCA GIRO 2 (CV)</t>
  </si>
  <si>
    <t>BCA CV SGH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</si>
  <si>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</si>
  <si>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</si>
  <si>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</si>
  <si>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</si>
  <si>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</si>
  <si>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</si>
  <si>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</si>
  <si>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</si>
  <si>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</si>
  <si>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</si>
  <si>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</si>
  <si>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</si>
  <si>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</si>
  <si>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</si>
  <si>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</si>
  <si>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</si>
  <si>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</si>
  <si>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</si>
  <si>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</si>
  <si>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</si>
  <si>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</si>
  <si>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</si>
  <si>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</si>
  <si>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</si>
  <si>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</si>
  <si>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</si>
  <si>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</si>
  <si>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</si>
  <si>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</si>
  <si>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</si>
  <si>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</si>
  <si>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</si>
  <si>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</si>
  <si>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</si>
  <si>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</si>
  <si>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</si>
  <si>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</si>
  <si>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</si>
  <si>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</si>
  <si>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</si>
  <si>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</si>
  <si>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Komisi &amp; BI Lang</t>
  </si>
  <si>
    <t>TOTAL Biaya</t>
  </si>
  <si>
    <t>PASSIVA</t>
  </si>
  <si>
    <t>OOD VIA BNI</t>
  </si>
  <si>
    <t>PIKNIK</t>
  </si>
  <si>
    <t>OPERASIONAL</t>
  </si>
  <si>
    <t>FNB</t>
  </si>
  <si>
    <t>RENOVASI MUSHOLAH</t>
  </si>
  <si>
    <t>KASBON ASRI</t>
  </si>
  <si>
    <t>DP FEBRUARI 2024 via FO</t>
  </si>
  <si>
    <t>DP GO a.n Smk Islam Perti Jakarta (04472) CI 08-10 MEI 2024</t>
  </si>
  <si>
    <t>DP Group a/n Hadi Tour Subang (04526) CI 03-04 JUNI 2024</t>
  </si>
  <si>
    <t>DP FEBRUARI 2024 via BCA</t>
  </si>
  <si>
    <t>Dp Group an. SMP N2 UJUNGJAYA ( 04481) BCA CI 23-24 JUNI 2024 / TF HERMAWAN</t>
  </si>
  <si>
    <t>DP GO a.n Al amin wisata Tangerang (04489) CI 24-26 JUNI 2024 / TF AN MUHAMAD AMINUL</t>
  </si>
  <si>
    <t>DP Group a.n SMP Fatachilah (04506) CI 25-26 MEI 2024 / TF AN DWI CAHYANTO</t>
  </si>
  <si>
    <t>Dp Group an Farida Nurjanah(04531) Via BCA CI 4-5 MEI 2024 / TF GILANG HADIANSYAH</t>
  </si>
  <si>
    <t>Dp Group an. Bpk wawan (04549) bca CI 10-11 MEI 2024 / TF AN PRIMANANG KOSIM</t>
  </si>
  <si>
    <t>Dp Group an. Ardi Bastian (04558) BCA CI 04-06 JUNI 2024 / TF AN ARDI BASTIAN</t>
  </si>
  <si>
    <t>Biaya Umroh</t>
  </si>
  <si>
    <t>Kuitansi pendapatan kandang</t>
  </si>
  <si>
    <t>Umroh</t>
  </si>
  <si>
    <t>Piknik</t>
  </si>
  <si>
    <t>Pendapatan Kandang</t>
  </si>
  <si>
    <t>FEB</t>
  </si>
  <si>
    <t>Mutasi Ke BCA Giro Payroll</t>
  </si>
  <si>
    <t>Payment Kasbon Ibu</t>
  </si>
  <si>
    <t>Biaya Piknik</t>
  </si>
  <si>
    <t>Feb</t>
  </si>
  <si>
    <t>BCA Hotel</t>
  </si>
  <si>
    <t>Biaya Rekreasi</t>
  </si>
  <si>
    <t>Biaya Rekreasi 2024</t>
  </si>
  <si>
    <t>dana tab wajib</t>
  </si>
  <si>
    <t>kas keu</t>
  </si>
  <si>
    <t>Jan</t>
  </si>
  <si>
    <t>DP FEBUARI 2024 via FO</t>
  </si>
  <si>
    <t>DP FABUARI 2024 via BCA</t>
  </si>
  <si>
    <t>TOTAL 2023 &amp; 2024</t>
  </si>
  <si>
    <t>OOD TOKO</t>
  </si>
  <si>
    <t>BRI kandang</t>
  </si>
  <si>
    <t xml:space="preserve">Dana Umroh </t>
  </si>
  <si>
    <t>LABA BERSIH</t>
  </si>
  <si>
    <t>Tabungan Wajib</t>
  </si>
  <si>
    <t>REK EDC</t>
  </si>
  <si>
    <t>MARKETING</t>
  </si>
  <si>
    <t>RENOVASI ASRI</t>
  </si>
  <si>
    <t>PAJAK TUNGGAKAN</t>
  </si>
  <si>
    <t>KASBON KARYAWAN SGH</t>
  </si>
  <si>
    <t>PAJAK AIR &amp; TANAH</t>
  </si>
  <si>
    <t>PAJAK DAERAH ZEEPOS</t>
  </si>
  <si>
    <t>BPJS KESEHATAN</t>
  </si>
  <si>
    <t>BPJS KETENAGAKERJAAN</t>
  </si>
  <si>
    <t>RETRIBUSI LIMBAH</t>
  </si>
  <si>
    <t>RETRIBUSI SAMPAH</t>
  </si>
  <si>
    <t>30</t>
  </si>
  <si>
    <t>DP group a.n Bp Rijal/Smk Alam Mekar Bekasi (04614) BCA CI 29-30 MEI 2024 / TF SARIJAL</t>
  </si>
  <si>
    <t>Dp Group an. Mamat tnt bndg (04616) bca CI 22-23 MEI 2024 / TF MAMAT MTOUR BANDUNG</t>
  </si>
  <si>
    <t>DP Group a.n Kurnia Tour (04624) via BCA CI 25-26 MEI 2024/ TF INDRA KURNIAWAN</t>
  </si>
  <si>
    <t>Dp Group an. Deva Tnt ( 046456) bca CI 25-26 MEI 2024 / TF AN FAJAR WAHYUDI</t>
  </si>
  <si>
    <t>DP Group a/n Lens Travel Project (04649)BCA CI 22-23 JUNI 2024 / TF M NUR FAHRIZAL</t>
  </si>
  <si>
    <t>Dp Group a.n Bapak Reza/ Mts Darussallam (04651) BCA CI 01-02 MEI 2024 / TF ABDUR RAHMAN HAMZA</t>
  </si>
  <si>
    <t>Dp Group an. Bapk Subroto .DS ( 04658) BCA CI 5-6 JULI 2024/ TF AN SUBROTO</t>
  </si>
  <si>
    <t>DP Group a/n Ufi Tour Travel (04676)BCA CI 29-30 JUNI 2024 / TF AN MAHMUDIN</t>
  </si>
  <si>
    <t>DP Group a/n Maheswari Tour Travel (04599) CI 14-15 MEI 2024</t>
  </si>
  <si>
    <t>Dp Group an. Alesta Bogor Tnt ( 04612) CI 02-04 MEI 2024</t>
  </si>
  <si>
    <t>Dp Room an. Andreas ( 04644) CI 19 MARET 2024</t>
  </si>
  <si>
    <t>DP group a.n PT sembilan sembilan Batang (04678) via BCA CI 18-19 MEI 2024 / TF MUJI SYUKUR</t>
  </si>
  <si>
    <t>DP Group a/n Bp Iyan Garut (04681)BCA CI 19-20 MEI 2024 / TF RIKA ROMANTIKA</t>
  </si>
  <si>
    <t>MAR</t>
  </si>
  <si>
    <t>JURNAL KOMPARATIF SATYA GRAHA 2024</t>
  </si>
  <si>
    <t>DP MARET 2024 via FO</t>
  </si>
  <si>
    <t>DP MARET 2024 via BCA</t>
  </si>
  <si>
    <t>Dp Group an. Bapak Priyo (04636) CI 16-17 JUNI 2024</t>
  </si>
  <si>
    <t>TOTAL 2024</t>
  </si>
  <si>
    <t>ENGGINERING</t>
  </si>
  <si>
    <t>PAJAK PUSAT DJP</t>
  </si>
  <si>
    <t>KOMISI &amp; BY LANGSUNG</t>
  </si>
  <si>
    <t>TELP</t>
  </si>
  <si>
    <t>Maret</t>
  </si>
  <si>
    <t>BPRS Madina ke BCA Giro</t>
  </si>
  <si>
    <t>Rek EDC ke BCA Giro</t>
  </si>
  <si>
    <t>Mutasi Deposito ke BPRS DH</t>
  </si>
  <si>
    <t>Admin Januari 2022</t>
  </si>
  <si>
    <t>Admin Februari 2022</t>
  </si>
  <si>
    <t>Setoran Over Booking Maret 2022</t>
  </si>
  <si>
    <t>Admin Maret 2022</t>
  </si>
  <si>
    <t>TARIK TUNAI 25/04/2022</t>
  </si>
  <si>
    <t>Admin dari April 2022 - Februari 2023</t>
  </si>
  <si>
    <t>Setoran Over Booking Maret 2023</t>
  </si>
  <si>
    <t>Admin Maret 2023 - Feb 2024</t>
  </si>
  <si>
    <t>Setoran Over Booking Maret 2024</t>
  </si>
  <si>
    <t>Rekening BPRS DH NOREK 1020100507 a/n Agustina Rahmawati</t>
  </si>
  <si>
    <t>Rekening BPRS DH NOREK 1020100897 a/n Agustina Rahmawati Binti Umar S</t>
  </si>
  <si>
    <t>TARIK TUNAI 26/03/2022</t>
  </si>
  <si>
    <t>Setoran Over Booking 05 Sept 2022</t>
  </si>
  <si>
    <t>Pengambilan OB</t>
  </si>
  <si>
    <t>Setoran Tunai 13 Sept 2022</t>
  </si>
  <si>
    <t>Setoran OB 16 Sept 2022</t>
  </si>
  <si>
    <t>Tarik Tunai 14 Desember 2022</t>
  </si>
  <si>
    <t>Tarik tunai 20 Desember 2022</t>
  </si>
  <si>
    <t>Setoran Over Booking 10 Maret 2023</t>
  </si>
  <si>
    <t>Tarik tunai 13 Maret 2023</t>
  </si>
  <si>
    <t>Rekening BPRS DH NOREK 1020100269 a/n Agustina Rahmawati QQ Satya Graha</t>
  </si>
  <si>
    <t>Admin Februari 2022 - Juli 2022</t>
  </si>
  <si>
    <t>Pengambilan OB 12 Juli 2022</t>
  </si>
  <si>
    <t>Setoran OB 12 Juli 2022</t>
  </si>
  <si>
    <t>Admin dari Agustus 2022 - Oktober 2022</t>
  </si>
  <si>
    <t>Setoran Tunai 23 November 2022</t>
  </si>
  <si>
    <t>Tarik Tunai 01 Desember 2022</t>
  </si>
  <si>
    <t>Setoran Tunai Desember 2022</t>
  </si>
  <si>
    <t>Admin Nov 22- Des 22</t>
  </si>
  <si>
    <t>Admin Januari 2023</t>
  </si>
  <si>
    <t>Setoran Tunai Januari 2023</t>
  </si>
  <si>
    <t>Admin Februari 2023</t>
  </si>
  <si>
    <t>Setoran Tunai Feb 2023</t>
  </si>
  <si>
    <t>Admin Maret 2023</t>
  </si>
  <si>
    <t>Tarik Tunai 28 Feb 2023</t>
  </si>
  <si>
    <t>Setoran Tunai Maret 2023</t>
  </si>
  <si>
    <t>Pengambilan OB Maret 2023</t>
  </si>
  <si>
    <t>Rekening BPRS DH NOREK 1020100637 a/n Agustina Rahmawati DAPEN</t>
  </si>
  <si>
    <t>Admin Januari 2022 - Februari 2023</t>
  </si>
  <si>
    <t>Biaya Parcell</t>
  </si>
  <si>
    <t>Mutasi Bank</t>
  </si>
  <si>
    <t>bca giro</t>
  </si>
  <si>
    <t>Parcel Beras</t>
  </si>
  <si>
    <t>Payment Deviden 2023</t>
  </si>
  <si>
    <t>Pendapatan Lainnya</t>
  </si>
  <si>
    <t>04713</t>
  </si>
  <si>
    <t>04782</t>
  </si>
  <si>
    <t>Patroli</t>
  </si>
  <si>
    <t>KK BIAYA</t>
  </si>
  <si>
    <t>Belanja Mineral</t>
  </si>
  <si>
    <t>Belanja ES</t>
  </si>
  <si>
    <t>Beli Es Batu</t>
  </si>
  <si>
    <t>Belanja HK</t>
  </si>
  <si>
    <t>MUTASI</t>
  </si>
  <si>
    <t>Belanja Ayam</t>
  </si>
  <si>
    <t>INVOICE</t>
  </si>
  <si>
    <t>Refil gas dan galon</t>
  </si>
  <si>
    <t>Service AC</t>
  </si>
  <si>
    <t>Bensin APV</t>
  </si>
  <si>
    <t>Belanja ENG</t>
  </si>
  <si>
    <t>Belanja Laundry</t>
  </si>
  <si>
    <t>Belanja Dapur</t>
  </si>
  <si>
    <t>Refil galon</t>
  </si>
  <si>
    <t>Belanja Lundry</t>
  </si>
  <si>
    <t>Refill Gas dan Galon</t>
  </si>
  <si>
    <t>Refill Galon</t>
  </si>
  <si>
    <t>Kasbon Rista</t>
  </si>
  <si>
    <t>Bayar BPJS Ketenagakerjaan</t>
  </si>
  <si>
    <t>Belanja Bensin APV</t>
  </si>
  <si>
    <t>Beli Gula Pasir</t>
  </si>
  <si>
    <t>Belanja Resto</t>
  </si>
  <si>
    <t>Bayar Sewa Proyektor</t>
  </si>
  <si>
    <t>Belanja ES Resto</t>
  </si>
  <si>
    <t>Mutasi FO ke BCA Payroll</t>
  </si>
  <si>
    <t>Belanja Eng</t>
  </si>
  <si>
    <t>Belanja Mineral Gelas</t>
  </si>
  <si>
    <t>Belanja Mineral Gelas dan Botol</t>
  </si>
  <si>
    <t>ENGINEERING</t>
  </si>
  <si>
    <t>Gaji MARET</t>
  </si>
  <si>
    <t>Casual APRIL</t>
  </si>
  <si>
    <t>Gaji APRIL</t>
  </si>
  <si>
    <t>SPR</t>
  </si>
  <si>
    <t>STD</t>
  </si>
  <si>
    <t>DLX</t>
  </si>
  <si>
    <t>FML</t>
  </si>
  <si>
    <t>HERI</t>
  </si>
  <si>
    <t>ETIK</t>
  </si>
  <si>
    <t>DP Group a/n Wijaya Tour Travel (04697)BCA CI 20-22 MEI 2024 / TF BOB SLAMET W</t>
  </si>
  <si>
    <t>DP Group a/n Dangiang Ratu Tour/Bp Reno (04708)BCA CI 25-26 MEI 2024/ TF RENO SETIADI</t>
  </si>
  <si>
    <t>DP Group a/n El Madani Tour Depok (04763)BCA CI 22-23 MEI 2024 / TF AN AIRPAY INTERN</t>
  </si>
  <si>
    <t>Dp Group a.n Gemini Tour Travel (04713) via BCA CI 06-08 MEI 2024 / TF AN HIFADA NAGATAMA KARYA</t>
  </si>
  <si>
    <t>ADMIN</t>
  </si>
  <si>
    <t>Dp Group an. Merpati Tnt ( 04715) bca CI 24-25 JUNI 2024 / TF AN AHMAD NUR HASYIM</t>
  </si>
  <si>
    <t>Dp Group an. Bpk Rangga Aditia (04724) BCA CI 19-20 MEI 2024 / TF RANGGA ADITIA</t>
  </si>
  <si>
    <t>DP Group a.n Andy Excellent tour travel (04726) via BCA CI 05-06 JUNI 2024 / TF AN ANDY SUYANTO</t>
  </si>
  <si>
    <t>Dp Group an. Dirgahayu tnt (04760) bca CI 27-29 MEI 2024 / TF M IMRON M</t>
  </si>
  <si>
    <t>DP Group a/n Pondok Pesantren Al Falah (04776)BCA CI 30-31 MEI 2024 / TF AN PRIMANIA KANIASIH</t>
  </si>
  <si>
    <t xml:space="preserve">Dp Group an. MA AL-MA'ARIF (04780) BCA CI 30 JUNI - 01 JULI 2024/ TF </t>
  </si>
  <si>
    <t>DP Group a.n Bapak Husyairi (04782) via BCA CI 01-02 MEI 2024 / TF AN M OCH HUSYAIRI</t>
  </si>
  <si>
    <t>Dp Group an. DBM TNT ( 04787) BCA CI 11-13 JUNI 2024 / TF RUDI PUJIARSO</t>
  </si>
  <si>
    <t>Pelunasan BCA</t>
  </si>
  <si>
    <t>MASUK OOD</t>
  </si>
  <si>
    <t xml:space="preserve">DP Group a/n Kurnia Tour (04762) CI 25-26 MEI 2024 </t>
  </si>
  <si>
    <t>04804</t>
  </si>
  <si>
    <t>04807</t>
  </si>
  <si>
    <t>04809</t>
  </si>
  <si>
    <t>DP Group a/n Hadi Tour Subang (04799) CI 08-09 JUNI 2024</t>
  </si>
  <si>
    <t>DP Group a.n MTS Sirojul Athfal/Bapak Deni (04807) CI 17-19 MEI 2024</t>
  </si>
  <si>
    <t>DP Group a/n Ryfansyah Tour/SMK Nurul Hidayah (04809)BCA CI 17-18 MEI 2024 / TF RHANAYA NABILLA R</t>
  </si>
  <si>
    <t>DP APRIL 2024 via FO</t>
  </si>
  <si>
    <t>DP APRIL 2024 via BCA</t>
  </si>
  <si>
    <t>Total Januari 2024</t>
  </si>
  <si>
    <t>Total Februari 2024</t>
  </si>
  <si>
    <t>Total Maret 2024</t>
  </si>
  <si>
    <t>Total April 2024</t>
  </si>
  <si>
    <t>Pelunasan via BCA</t>
  </si>
  <si>
    <t>Mutasi dari FO ke BCA Payroll</t>
  </si>
  <si>
    <t>Rekening BCA CV APRIL 2024</t>
  </si>
  <si>
    <t>Gaji Maret 2024-Satya Graha</t>
  </si>
  <si>
    <t>Gaji Maret 2024-Asri Graha</t>
  </si>
  <si>
    <t>dp belum diketahui</t>
  </si>
  <si>
    <t>April</t>
  </si>
  <si>
    <t>Bunga Potongan Pajak dan Admin</t>
  </si>
  <si>
    <t>Biaya Gaji Cash</t>
  </si>
  <si>
    <t>Mutasi BCA Giro untuk THR</t>
  </si>
  <si>
    <t>Rekening BPRS MADINA APRIL 2024</t>
  </si>
  <si>
    <t>Setoran Deposito</t>
  </si>
  <si>
    <t>Debet untuk deposito</t>
  </si>
  <si>
    <t>Bagi hasil deposito dan Admin 2023</t>
  </si>
  <si>
    <t>Bagi hasil deposito dan Tax Jan 2024</t>
  </si>
  <si>
    <t>Pencairan Deposito</t>
  </si>
  <si>
    <t>Transfer ke rek Giro BCA</t>
  </si>
  <si>
    <t>Bagi hasil deposito dan Tax Feb 2024</t>
  </si>
  <si>
    <t>Bagi hasil deposito dan Tax Maret 2024</t>
  </si>
  <si>
    <t>Bonus Tabungan dan Tax April 2024</t>
  </si>
  <si>
    <t xml:space="preserve">DANA BAT </t>
  </si>
  <si>
    <t>Biaya Bonus Akhir Tahun</t>
  </si>
  <si>
    <t>Biaya Gaji BAT</t>
  </si>
  <si>
    <t>Piutang Parcell</t>
  </si>
  <si>
    <t>PEMBAGIAN LABA</t>
  </si>
  <si>
    <t>M. Yusuf Anwar</t>
  </si>
  <si>
    <t>LABA 2023</t>
  </si>
  <si>
    <t>Ita Yulistiani</t>
  </si>
  <si>
    <t>M Nurul Iman S</t>
  </si>
  <si>
    <t>Herlina Tari S</t>
  </si>
  <si>
    <t>Agustina Rahmawati</t>
  </si>
  <si>
    <t>Dana cadangan Umum</t>
  </si>
  <si>
    <t>Dana Cad Khusus / CSR</t>
  </si>
  <si>
    <t>LABA 2024</t>
  </si>
  <si>
    <t>Dana Cad Khusus/CSR</t>
  </si>
  <si>
    <t>Tf ke Irwan Tri 03 Januari 2024</t>
  </si>
  <si>
    <t xml:space="preserve">Tf dari Danang (Januari 2024) </t>
  </si>
  <si>
    <t>Tf ke Irwan Tri 11 Januari 2024</t>
  </si>
  <si>
    <t>Tf dari Danang (Februari 2024)</t>
  </si>
  <si>
    <t>Tf ke Irwan Tri 09 Februari 2024</t>
  </si>
  <si>
    <t xml:space="preserve">BRI </t>
  </si>
  <si>
    <t>Rekening BRI KANDANG (rekonsiliasi di April 2024)</t>
  </si>
  <si>
    <t>Angka blm Pasti</t>
  </si>
  <si>
    <t>Deposito (EDC BCA)</t>
  </si>
  <si>
    <t>Deposito (BPRS DH)</t>
  </si>
  <si>
    <t>Deposito (BPR Madina)</t>
  </si>
  <si>
    <t>Deposito (Rek EDC)</t>
  </si>
  <si>
    <t xml:space="preserve"> Saldo Awal MEI 2024</t>
  </si>
  <si>
    <t>Saldo Awal MEI 2024</t>
  </si>
  <si>
    <t>REKAP OOD MEI 2024</t>
  </si>
  <si>
    <t>31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</si>
  <si>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</si>
  <si>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</si>
  <si>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</si>
  <si>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</si>
  <si>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</si>
  <si>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</si>
  <si>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</si>
  <si>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</si>
  <si>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</si>
  <si>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</si>
  <si>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</si>
  <si>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</si>
  <si>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</si>
  <si>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</si>
  <si>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</si>
  <si>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</si>
  <si>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</si>
  <si>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</si>
  <si>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</si>
  <si>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</si>
  <si>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</si>
  <si>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</si>
  <si>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</si>
  <si>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</si>
  <si>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</si>
  <si>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</si>
  <si>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</si>
  <si>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</si>
  <si>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</si>
  <si>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</si>
  <si>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</si>
  <si>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</si>
  <si>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</si>
  <si>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</si>
  <si>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</si>
  <si>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</si>
  <si>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</si>
  <si>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</si>
  <si>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</si>
  <si>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</si>
  <si>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</si>
  <si>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</si>
  <si>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</si>
  <si>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</si>
  <si>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</si>
  <si>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</si>
  <si>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</si>
  <si>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</si>
  <si>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</si>
  <si>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</si>
  <si>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</si>
  <si>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</si>
  <si>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</si>
  <si>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</si>
  <si>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</si>
  <si>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</si>
  <si>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</si>
  <si>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</si>
  <si>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</si>
  <si>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</si>
  <si>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</si>
  <si>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</si>
  <si>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</si>
  <si>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</si>
  <si>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</si>
  <si>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</si>
  <si>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</si>
  <si>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</si>
  <si>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</si>
  <si>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</si>
  <si>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</si>
  <si>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</si>
  <si>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</si>
  <si>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</si>
  <si>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</si>
  <si>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</si>
  <si>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</si>
  <si>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</si>
  <si>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</si>
  <si>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</si>
  <si>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</si>
  <si>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</si>
  <si>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</si>
  <si>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</si>
  <si>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</si>
  <si>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</si>
  <si>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</si>
  <si>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</si>
  <si>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</si>
  <si>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</si>
  <si>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</si>
  <si>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</si>
  <si>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</si>
  <si>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</si>
  <si>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</si>
  <si>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</si>
  <si>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</si>
  <si>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</si>
  <si>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</si>
  <si>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</si>
  <si>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</si>
  <si>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</si>
  <si>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</si>
  <si>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</si>
  <si>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</si>
  <si>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</si>
  <si>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</si>
  <si>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</si>
  <si>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</si>
  <si>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</si>
  <si>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</si>
  <si>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</si>
  <si>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</si>
  <si>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</si>
  <si>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</si>
  <si>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</si>
  <si>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</si>
  <si>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</si>
  <si>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</si>
  <si>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</si>
  <si>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</si>
  <si>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</si>
  <si>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</si>
  <si>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</si>
  <si>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</si>
  <si>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</si>
  <si>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</si>
  <si>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</si>
  <si>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</si>
  <si>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</si>
  <si>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</si>
  <si>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</si>
  <si>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</si>
  <si>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</si>
  <si>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</si>
  <si>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</si>
  <si>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</si>
  <si>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</si>
  <si>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</si>
  <si>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</si>
  <si>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</si>
  <si>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</si>
  <si>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</si>
  <si>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</si>
  <si>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</si>
  <si>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</si>
  <si>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</si>
  <si>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</si>
  <si>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</si>
  <si>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</si>
  <si>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</si>
  <si>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</si>
  <si>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</si>
  <si>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</si>
  <si>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</si>
  <si>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</si>
  <si>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</si>
  <si>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</si>
  <si>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</si>
  <si>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</si>
  <si>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</si>
  <si>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</si>
  <si>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</si>
  <si>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</si>
  <si>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</si>
  <si>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</si>
  <si>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Rekening BCA HOTEL MEI 2024</t>
  </si>
  <si>
    <t>Rekening BPRS Hidayatullah MEI 2024</t>
  </si>
  <si>
    <t>MEI</t>
  </si>
  <si>
    <t>APRIL</t>
  </si>
  <si>
    <t>Komparatif per 31 MEI 2024</t>
  </si>
  <si>
    <t>Mei</t>
  </si>
  <si>
    <t>Belanja AC</t>
  </si>
  <si>
    <t>Service Ac dan Belanja Remot AC</t>
  </si>
  <si>
    <t>Pelunasan GO a.n Bapak Husyairi (1042) via BCA</t>
  </si>
  <si>
    <t>Fee Dinner Casual FBS a.n Wawan (04815)</t>
  </si>
  <si>
    <t>DP Group a.n Twin Adventure (04816)</t>
  </si>
  <si>
    <t>Pelunasan GO a.n Musyafir Tour Travel (1040)</t>
  </si>
  <si>
    <t>Pelunaan Group an. Mts Darussalam Tongas ( 1041)</t>
  </si>
  <si>
    <t>Storan Asri graha (04817)</t>
  </si>
  <si>
    <t>Caual FBS an. Wawan ( 04818)</t>
  </si>
  <si>
    <t>Bayar Iklan Loker</t>
  </si>
  <si>
    <t>Dp Group an. Bpk Sunaryo ( 04819) bca</t>
  </si>
  <si>
    <t>Belnaja Dapur</t>
  </si>
  <si>
    <t>Dp Group an. Ellyzia/bu Reno ( 04820) BCA</t>
  </si>
  <si>
    <t>Belanja Keperluan MTSGH</t>
  </si>
  <si>
    <t>Dp Group an. Mts Man'abul qur'an ( 04821) bca</t>
  </si>
  <si>
    <t>Belanja es</t>
  </si>
  <si>
    <t>Belanja dapur</t>
  </si>
  <si>
    <t>Storan Asri graha (04822)</t>
  </si>
  <si>
    <t>Dp Group an. Ibu Agnes ( 04823) bca</t>
  </si>
  <si>
    <t>Casual Fbs an. wawan ( 04824)</t>
  </si>
  <si>
    <t>Refil Galon dan gas</t>
  </si>
  <si>
    <t>Rekap revisi gaji pak rahman bln april ( 04825)</t>
  </si>
  <si>
    <t>Fee pengawas Renovasi mushola ( 04826)</t>
  </si>
  <si>
    <t>DP Group a/n Alesta Tour Travel (04827)BCA</t>
  </si>
  <si>
    <t>Pelunasan GO a.n Alesta Tour Travel (1043)</t>
  </si>
  <si>
    <t>Handle Parkir Bus 3 Hari (04828)</t>
  </si>
  <si>
    <t>Hnadle Parkir Syawalan (04829)</t>
  </si>
  <si>
    <t>Setoran Asri Graha Hotel (04830)</t>
  </si>
  <si>
    <t>Bayar Loker SGH</t>
  </si>
  <si>
    <t>Fee Casual FBS a.n Wawan (04833)</t>
  </si>
  <si>
    <t>Belanja ATK FO</t>
  </si>
  <si>
    <t>Setoran Resto (04831)</t>
  </si>
  <si>
    <t>Setoran Butik (04832)</t>
  </si>
  <si>
    <t>Beli Es batu untuk Resto</t>
  </si>
  <si>
    <t>Pelunasan GO a/n Jogja Trans Holiday (1044)BCA+Cash</t>
  </si>
  <si>
    <t>Beli Es Batu untuk Meeting</t>
  </si>
  <si>
    <t>Pelunasan GO Meeting a.n DPD PAN (1045) BCA</t>
  </si>
  <si>
    <t>Fee casual FBS a.n Ibu Wati /10 jam (04834)</t>
  </si>
  <si>
    <t>Fee casual ENG a.n Pak Doni (04835)</t>
  </si>
  <si>
    <t>Casual Servis BF+Lunch a/n Setiawan (04836)</t>
  </si>
  <si>
    <t>Casual Servis Dinner a/n Setiawan (04837)</t>
  </si>
  <si>
    <t>Bayar Sewa Proyekyor</t>
  </si>
  <si>
    <t>Storan Asri graha ( 04838)</t>
  </si>
  <si>
    <t>Bayar Sewa Sendok 2 H</t>
  </si>
  <si>
    <t>Casual Bf Fnb an. wawan ( 04839)</t>
  </si>
  <si>
    <t>Bayar BPJS Kesehatan + Parkir</t>
  </si>
  <si>
    <t>Bayar XL Prioritas + admin</t>
  </si>
  <si>
    <t>Bayar Bulanan SGH</t>
  </si>
  <si>
    <t>Bayar Langganan OX PARABOLA</t>
  </si>
  <si>
    <t>Kabon Asri graha bayar bulanan ( 04840)</t>
  </si>
  <si>
    <t>Kasbon pak rahman</t>
  </si>
  <si>
    <t>Belanja es resto</t>
  </si>
  <si>
    <t>DP Group a/n SMK YPUI Jakarta (04841)BCA</t>
  </si>
  <si>
    <t>Pelunasan Group an. Gemini tnt ( 1047) BCA</t>
  </si>
  <si>
    <t>Pelunasan Group an. SMP UTHAD GLOBAL SCHOOL 2 9 1046)</t>
  </si>
  <si>
    <t>Pembelian AC</t>
  </si>
  <si>
    <t>Casual Fbs an. Wawan ( 04843)</t>
  </si>
  <si>
    <t>Dp Hall an. stikes yogya ( 04844)</t>
  </si>
  <si>
    <t>Storan Asri graha ( 04842)</t>
  </si>
  <si>
    <t>Dp Group an. Hadi Tnt ( 04845)</t>
  </si>
  <si>
    <t>Casual HK an. Pa Agus ( 04846)</t>
  </si>
  <si>
    <t>Fee pengecatan Kmr 6,7,8 asri graha (04847)</t>
  </si>
  <si>
    <t>Pelunasan Group an. Ponpes al hidayah (1048)</t>
  </si>
  <si>
    <t>Pembayaran Buang sampah rutin</t>
  </si>
  <si>
    <t>Beli Stopkontak</t>
  </si>
  <si>
    <t>Fee Dinner Casual FBS a.n Wawan (04848)</t>
  </si>
  <si>
    <t>Pelunasan GO a.n Easy Tour Travel (1049)</t>
  </si>
  <si>
    <t>Handle Parkir bus 4 hari 21 bus ( 04850)</t>
  </si>
  <si>
    <t>Handle parkir meeting dpd pan (04851)</t>
  </si>
  <si>
    <t>Storan Asri graha ( 04852)</t>
  </si>
  <si>
    <t>Casual FBS an. wawan ( 04849)</t>
  </si>
  <si>
    <t>Rekap tab. wajib dan gaji resign ( 04853)</t>
  </si>
  <si>
    <t>Belanja Kartu Nama FO</t>
  </si>
  <si>
    <t>Dp group an. Septi rahayu (04855) bca</t>
  </si>
  <si>
    <t>Void 04854</t>
  </si>
  <si>
    <t>Service TV</t>
  </si>
  <si>
    <t>Bayar Iklan loker</t>
  </si>
  <si>
    <t>Belanja Mineral gelas da botol</t>
  </si>
  <si>
    <t>Dp Group an. Alif Tnt ( 04856) BCA</t>
  </si>
  <si>
    <t>Mutasi Ke Bank BCA ( mb rully )</t>
  </si>
  <si>
    <t>Belnaja Batre</t>
  </si>
  <si>
    <t>Casual HK an. Nur kholis ( 04858)</t>
  </si>
  <si>
    <t>Casual HK an. Pak Agus ( 04857)</t>
  </si>
  <si>
    <t>Belanja snack</t>
  </si>
  <si>
    <t>Fee Casual FBS dan Kitchen a.n Ibu Wati (04859)</t>
  </si>
  <si>
    <t>Beli Es Batu Kristal</t>
  </si>
  <si>
    <t>Fee Dinner Casual FBS a.n Wawan (04860)</t>
  </si>
  <si>
    <t>Parkir Bus (04861)</t>
  </si>
  <si>
    <t>Refill Gas &amp; Galon</t>
  </si>
  <si>
    <t>Casual FnB a/n Wati (04862)</t>
  </si>
  <si>
    <t>Sewa Proyektor (04863)</t>
  </si>
  <si>
    <t>Sewa Sendok dan Kursi WS</t>
  </si>
  <si>
    <t>Sewa Extrabed</t>
  </si>
  <si>
    <t>Casual Servis a/n Setiawan 12jam (04864)</t>
  </si>
  <si>
    <t>Casual HK a/n Agus (04865)</t>
  </si>
  <si>
    <t>DP Group a/n SMP Yaspita Tangerang Selatan (04866)BCA</t>
  </si>
  <si>
    <t>DP Group a/n Al Fattah Razaq Tour (04867)BCA</t>
  </si>
  <si>
    <t>Pelunasan GO a.n SMK PERTI (1050)</t>
  </si>
  <si>
    <t>DP Group a.n Bapak Aris (04868)via BCA</t>
  </si>
  <si>
    <t>Parkir Bus (04869)</t>
  </si>
  <si>
    <t>Setoran Asri Graha (04870)</t>
  </si>
  <si>
    <t>Casual Servis a/n Setiawan (04871)</t>
  </si>
  <si>
    <t>Belanja Dapur 2</t>
  </si>
  <si>
    <t>Refill Galon&amp;Gas</t>
  </si>
  <si>
    <t>R.218 a/n Dewi Marianti (07279)</t>
  </si>
  <si>
    <t>Servis AC</t>
  </si>
  <si>
    <t>R.220 a/n Tri Priyatmo (07280)Tiket.com</t>
  </si>
  <si>
    <t>Beli Mineral Gelas</t>
  </si>
  <si>
    <t>R.212 a/n Anton Wibowo (07281)TRAV</t>
  </si>
  <si>
    <t>Casual FnB a/n Wati (04872)</t>
  </si>
  <si>
    <t>R.213,214 a/n Nuki Trismayanti (07282)TRAV</t>
  </si>
  <si>
    <t>Fee Dinner Casual FBS a.n Wawan (04873)</t>
  </si>
  <si>
    <t>Beli Es batu kristal</t>
  </si>
  <si>
    <t>Pelunasan GO a.n Bp Wawan SMK Widya Dharma (1051)</t>
  </si>
  <si>
    <t>DP Group a.n Kak Fila (04875) via BCA</t>
  </si>
  <si>
    <t>Fee Casual Kitchen a.n Ibu Wati (04874)</t>
  </si>
  <si>
    <t>Pelunasan GO a.n SD N 3 Bungu Jepara (1052)</t>
  </si>
  <si>
    <t>Belnaja Ayam</t>
  </si>
  <si>
    <t>Storan Asri graha ( 04877)</t>
  </si>
  <si>
    <t>Dp Group an. pak edy ( 04876)</t>
  </si>
  <si>
    <t>R. 135-137 an. Ibu rini ( 07278) bca + cash</t>
  </si>
  <si>
    <t>Casual FBS an. wawan ( 04878)</t>
  </si>
  <si>
    <t>Belnaja AC K. 228</t>
  </si>
  <si>
    <t>Belnaja ENG</t>
  </si>
  <si>
    <t>Belnaja Es Resto</t>
  </si>
  <si>
    <t>Casual HK an. Agus ( 04879)</t>
  </si>
  <si>
    <t>Laundry Slimut</t>
  </si>
  <si>
    <t>DP Group a/n Bersama Tour Travel (04880)</t>
  </si>
  <si>
    <t>Casual Servis a/n Wati (04881)</t>
  </si>
  <si>
    <t>Casual Servis a/n Setiawan (04882)</t>
  </si>
  <si>
    <t>Sewa Proyektor (04883)</t>
  </si>
  <si>
    <t>Pelunasan GO a/n MTs Darussadah/Adawiyah (1053)</t>
  </si>
  <si>
    <t>Casual FBS an. wawan ( 04884)</t>
  </si>
  <si>
    <t>Handle Parkir Bus 9 2H ( 04885)</t>
  </si>
  <si>
    <t>Casual FBS an. Bu wati ( 04886)</t>
  </si>
  <si>
    <t>Dp Group an. Ainun tnt ( 04888) bca</t>
  </si>
  <si>
    <t>VOID 4887</t>
  </si>
  <si>
    <t>Belanja Tisu</t>
  </si>
  <si>
    <t>Handle Bus 5 1 hari ( 04889)</t>
  </si>
  <si>
    <t>Pelunasan Group an. Duta Tnt ( 3054)</t>
  </si>
  <si>
    <t>Casual Fbs an. Wawan ( 04890)</t>
  </si>
  <si>
    <t>Refil Gas dan galon</t>
  </si>
  <si>
    <t>R. 200 an. Nurbaiti ( 07283) trav</t>
  </si>
  <si>
    <t>Belanja Printer</t>
  </si>
  <si>
    <t>Service Tv</t>
  </si>
  <si>
    <t>Mutasi Ke BCA ( MB RULLY )</t>
  </si>
  <si>
    <t>Casual HK an. Pak Agus ( 04891)</t>
  </si>
  <si>
    <t>Belanja PAC</t>
  </si>
  <si>
    <t>Fee Dinner Casual a.n Wawan (04892)</t>
  </si>
  <si>
    <t>Pelunasan Group an. Zea Tnt ( 1055)</t>
  </si>
  <si>
    <t>Storan Asri graha ( 04894)</t>
  </si>
  <si>
    <t>Casual Fbs an. wawan ( 04893)</t>
  </si>
  <si>
    <t>Belanja Paket data maekting</t>
  </si>
  <si>
    <t>Refil Gas &amp; Galon</t>
  </si>
  <si>
    <t>Fee Aplikasi Asri graha ( 04895)</t>
  </si>
  <si>
    <t>Service Ac</t>
  </si>
  <si>
    <t>Fee DInner Casual FBS a.n Wawan (04896)</t>
  </si>
  <si>
    <t>Pelunasan Group an. Farida n.j ( 1056)</t>
  </si>
  <si>
    <t>Pelunasan Group an. Maheswari ( 1057)</t>
  </si>
  <si>
    <t>Tambahan menu maheswari ( 1058)</t>
  </si>
  <si>
    <t>Storan Asri graha ( 04897)</t>
  </si>
  <si>
    <t>Dp ball room an. ibu idha IWAPI ( 04898) BCA</t>
  </si>
  <si>
    <t>Casual FBS an. Wawan ( 04899)</t>
  </si>
  <si>
    <t>Belanja Aayam</t>
  </si>
  <si>
    <t>Belanja CAT Asri graha</t>
  </si>
  <si>
    <t>Belanja ES Rsto</t>
  </si>
  <si>
    <t>Belanja AC + PARKIR</t>
  </si>
  <si>
    <t>Casual HK an. Pak agus ( 04900)</t>
  </si>
  <si>
    <t>Pasang dan service ac</t>
  </si>
  <si>
    <t>Beli Ayam</t>
  </si>
  <si>
    <t>Pelunasan GO a/n SMP N 1 Pabuaran (1059)</t>
  </si>
  <si>
    <t>Casual Servis a/n Setiawan 10jam (04901)</t>
  </si>
  <si>
    <t>Casual Servis a/n Wati (04902)</t>
  </si>
  <si>
    <t>Sewa Proyektor</t>
  </si>
  <si>
    <t>Bayar Snack</t>
  </si>
  <si>
    <t>Handle parkir Bus 3 Hari (04903)</t>
  </si>
  <si>
    <t>Pelunasan GO Meeting a.n Stikes Yogyakarta (1062)</t>
  </si>
  <si>
    <t>Refill Galon dan Gas</t>
  </si>
  <si>
    <t>Belanja Snack siang</t>
  </si>
  <si>
    <t>Pelunasan GO Meeting a.n Stikes Yogyakarta (1063)</t>
  </si>
  <si>
    <t>Bayar Sewa Kursi Lipat</t>
  </si>
  <si>
    <t>Fee Casual FBS a.n Wawan 11 jam (04904)</t>
  </si>
  <si>
    <t>Peluinasan GO a.n SMP Yaspita Tangerang (1061)</t>
  </si>
  <si>
    <t>Fee Casual FBS a.n Ibu Wati 13 jam (04905)</t>
  </si>
  <si>
    <t>Casual Servis a/n Setiawan (04906)</t>
  </si>
  <si>
    <t>Pelunasan GO a/n Bp Iyos (1060)</t>
  </si>
  <si>
    <t>Pembayaran kwitansi</t>
  </si>
  <si>
    <t>Beli air mineral 2 dus</t>
  </si>
  <si>
    <t>Beli es batu</t>
  </si>
  <si>
    <t>Setoran Asri Graha (04907)</t>
  </si>
  <si>
    <t>belanja dapur</t>
  </si>
  <si>
    <t>Pelunasan GO Meeting a.n Stikes Yogyakarta (1066)</t>
  </si>
  <si>
    <t>Fee Casual FBS a.n Wawan (04908)</t>
  </si>
  <si>
    <t>Beli baterai</t>
  </si>
  <si>
    <t>Casual FnB a/n Wati 12jam (04909)</t>
  </si>
  <si>
    <t>Casual Servis a/n Setiawan (04910)</t>
  </si>
  <si>
    <t>Beli Ayam 1kg (04911)</t>
  </si>
  <si>
    <t>Beli Snack</t>
  </si>
  <si>
    <t>Casual FnB BF a/n Wati (04912)</t>
  </si>
  <si>
    <t>Pelunasan GO a/n SMK Nurul Hidayah (1064)</t>
  </si>
  <si>
    <t>Handle Bus 7 , 2 hari ( 04913)</t>
  </si>
  <si>
    <t>Handle Meeting stikes (04914)</t>
  </si>
  <si>
    <t>Storan Asri graha (04915)</t>
  </si>
  <si>
    <t>Belanja Snack</t>
  </si>
  <si>
    <t>R. 308 an. Septiana nur ( 07284)</t>
  </si>
  <si>
    <t>Casual FBS an. wawan 12 jam ( 04917)</t>
  </si>
  <si>
    <t>Bayar sewa kursi</t>
  </si>
  <si>
    <t>Pelunasan Near tnt ( 1067)</t>
  </si>
  <si>
    <t>R. 119 AN. Budi Siaga ( 07285)</t>
  </si>
  <si>
    <t>Dp Group an. Amanah Tnt ( 04918) bca</t>
  </si>
  <si>
    <t>Upgrade Room 119 ke 133 an . Budi Siaga ( 04919)</t>
  </si>
  <si>
    <t>Belanja Resto + parkir</t>
  </si>
  <si>
    <t>Bayar sewa proyektor 3 Hari</t>
  </si>
  <si>
    <t>Fee Casual FBS a.n Wawan (04920)</t>
  </si>
  <si>
    <t>R.119 a.n Syahril (07286)</t>
  </si>
  <si>
    <t>R.118 a.n Sandy Aditya (07287)</t>
  </si>
  <si>
    <t>Handle Bus 4 1 hari (04922)</t>
  </si>
  <si>
    <t>Handle Meeting Stikes ( 04921)</t>
  </si>
  <si>
    <t>Pelunasan Group an. Mts Sirojul ( 1065)</t>
  </si>
  <si>
    <t>Casual Fbs an. wawan ( 04916)</t>
  </si>
  <si>
    <t>Beli kartu nama Marketing</t>
  </si>
  <si>
    <t>R. 133 an. Syahril ( 07288) bca</t>
  </si>
  <si>
    <t>Pelunasan Group an. Bapak Iyos (1068)</t>
  </si>
  <si>
    <t>Bayar meja kayu set</t>
  </si>
  <si>
    <t>Dp Group an. Alvi Y ( 04923) BCA</t>
  </si>
  <si>
    <t>Beli Es batu</t>
  </si>
  <si>
    <t>Pelunasan GO a.n Bapak Bastian (1069)</t>
  </si>
  <si>
    <t>Storan Asri graha ( 04924)</t>
  </si>
  <si>
    <t>Casual Fbs an. wawan ( 04925)</t>
  </si>
  <si>
    <t>Belanja mineral</t>
  </si>
  <si>
    <t>Refil galon dan gas</t>
  </si>
  <si>
    <t>Mutasi Ke BCA ( MB RULY )</t>
  </si>
  <si>
    <t>Transport Survey Tukang Mushola (04926)</t>
  </si>
  <si>
    <t>Pelunasan Group an. M. Tour Bandung (1072) bca</t>
  </si>
  <si>
    <t>Casual Hk an. pak Agus (04927)</t>
  </si>
  <si>
    <t>Pelunasan Group an. Alif tnt ( 1073) BCA</t>
  </si>
  <si>
    <t>Bayar Kartu nama Intan</t>
  </si>
  <si>
    <t>Pelunasan GO a/n MTs Manibul Quran (1071)</t>
  </si>
  <si>
    <t>mutasi</t>
  </si>
  <si>
    <t>BYR BULANAN</t>
  </si>
  <si>
    <t>retribusi limbah</t>
  </si>
  <si>
    <t>Belanja Paket data marketing</t>
  </si>
  <si>
    <t>Atk</t>
  </si>
  <si>
    <t>DLZ</t>
  </si>
  <si>
    <t>DP 1 BCA 23/01/2024</t>
  </si>
  <si>
    <t>04424</t>
  </si>
  <si>
    <t>DP 1 BCA TGL 21/03/2024</t>
  </si>
  <si>
    <t>04651</t>
  </si>
  <si>
    <t>DP 1 BCA 24/04/24</t>
  </si>
  <si>
    <t>DP 1 BCA 06/03/24 &amp; DP 2 BCA 27/04/24</t>
  </si>
  <si>
    <t>04612 &amp; 04827</t>
  </si>
  <si>
    <t>DP 1 BCA 25/11/24</t>
  </si>
  <si>
    <t>04091</t>
  </si>
  <si>
    <t>DP1 BCA 02/05/24</t>
  </si>
  <si>
    <t>DP CASH 17/12/2023</t>
  </si>
  <si>
    <t>04207</t>
  </si>
  <si>
    <t>DP BCA 1 04/04/24</t>
  </si>
  <si>
    <t>TF A/N AULIYA RYANTI</t>
  </si>
  <si>
    <t>DP BCA 09/12/24</t>
  </si>
  <si>
    <t>04163</t>
  </si>
  <si>
    <t>DP 1 BCA 09/02/24</t>
  </si>
  <si>
    <t>04167</t>
  </si>
  <si>
    <t>DP 1 CASH 02/02/2024</t>
  </si>
  <si>
    <t>04472</t>
  </si>
  <si>
    <t>DP 1 BCA 23/02/2024</t>
  </si>
  <si>
    <t>04549</t>
  </si>
  <si>
    <t>04423</t>
  </si>
  <si>
    <t>DP 1 BCA 27/04/2024</t>
  </si>
  <si>
    <t>Pelunasan Group an. Duta Tnt ( 1054)</t>
  </si>
  <si>
    <t>DP 1 BCA 13/01/2024</t>
  </si>
  <si>
    <t>04366</t>
  </si>
  <si>
    <t>DP BCA TGL 12/02/2024</t>
  </si>
  <si>
    <t>04531</t>
  </si>
  <si>
    <t>DP CASH 04/03/2024</t>
  </si>
  <si>
    <t>04599</t>
  </si>
  <si>
    <t>TAMBAHAN MENU</t>
  </si>
  <si>
    <t>DP BCA 13/01/2024</t>
  </si>
  <si>
    <t>04365</t>
  </si>
  <si>
    <t>angger</t>
  </si>
  <si>
    <t>DP CASH 18/01/2024</t>
  </si>
  <si>
    <t>04392</t>
  </si>
  <si>
    <t>DP BCA 09/05/2024</t>
  </si>
  <si>
    <t>DP BCA 08/05/2024</t>
  </si>
  <si>
    <t>DP BCA 29/04/2024</t>
  </si>
  <si>
    <t>DP CASH 29/04/2024</t>
  </si>
  <si>
    <t>DP BCA 25/03/2024</t>
  </si>
  <si>
    <t>04681</t>
  </si>
  <si>
    <t>DP BCA 23/01/2024</t>
  </si>
  <si>
    <t>04421</t>
  </si>
  <si>
    <t>DP BCA 02/05/2024</t>
  </si>
  <si>
    <t>DP BCA 07/03/2024</t>
  </si>
  <si>
    <t>04616</t>
  </si>
  <si>
    <t>PEL TF A/N MAMAT ROHMAT</t>
  </si>
  <si>
    <t>DP BCA 08/03/2024</t>
  </si>
  <si>
    <t>PEL TF A/N IDA NOROHMAH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</si>
  <si>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</si>
  <si>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</si>
  <si>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</si>
  <si>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</si>
  <si>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</si>
  <si>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</si>
  <si>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</si>
  <si>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</si>
  <si>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</si>
  <si>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</si>
  <si>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</si>
  <si>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</si>
  <si>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</si>
  <si>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</si>
  <si>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</si>
  <si>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</si>
  <si>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</si>
  <si>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</si>
  <si>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</si>
  <si>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</si>
  <si>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</si>
  <si>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</si>
  <si>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</si>
  <si>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</si>
  <si>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</si>
  <si>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DP MEI 2024 via FO</t>
  </si>
  <si>
    <t xml:space="preserve">DP Group a.n Twin Adventure (04816) CI 29-30 MEI 2024 </t>
  </si>
  <si>
    <t>Dp Hall an. stikes yogya ( 04844) CI 16-18 MEI 2024</t>
  </si>
  <si>
    <t>Dp Group an. Hadi Tnt ( 04845) CI 03-04 JUNI 2024</t>
  </si>
  <si>
    <t>Dp Group an. pak edy ( 04876)Cash CI 4-5 Juni 2024</t>
  </si>
  <si>
    <t>DP Group a/n Bersama Tour Travel (04880) CI 10-12 juni 2024</t>
  </si>
  <si>
    <t>DP MEI 2024 via BCA</t>
  </si>
  <si>
    <t>Dp Group an. Bpk Sunaryo ( 04819) bca CI 29-30 MEI 2024 / TF AN SUNARYO</t>
  </si>
  <si>
    <t>Dp Group an. Ellyzia/bu Reno ( 04820) BCA CI 05 MEI 2024 SYAWALAN / TF AN ELLYZIA ATAU RENO</t>
  </si>
  <si>
    <t xml:space="preserve">Dp Group an. Mts Man'abul qur'an ( 04821) bca CI 20-21 MEI 2024 / TF AN MTS MANABUL </t>
  </si>
  <si>
    <t>Dp Group an. Ibu Agnes ( 04823) bca CI 14-16 SEPTEMBER 2024 / TF AN DIAMON HERIINA</t>
  </si>
  <si>
    <t>DP Group a/n Alesta Tour Travel (04827)BCA CI 02-04 MEI 2024 / TF AN HABIB M</t>
  </si>
  <si>
    <t>DP Group a/n SMK YPUI Jakarta (04841)BCA CI 21-23 MEI 2024 / TF AN EDI TRIYANTO</t>
  </si>
  <si>
    <t>Dp group an. Septi rahayu (04855) bca CI 07-09 JUNI 2024 / TF AN SEPTI RAHAYU</t>
  </si>
  <si>
    <t>Dp Group an. Alif Tnt ( 04856) BCA CI 22-23 MAY 2024 / TF  idaa noorochmah</t>
  </si>
  <si>
    <t xml:space="preserve">DP Group a/n SMP Yaspita Tangerang Selatan (04866)BCA CI 16-17 MEI 2024 / TF visionet </t>
  </si>
  <si>
    <t>DP Group a/n Al Fattah Razaq Tour (04867)BCA CI 27-29 JUNI 2024 / TF AN ARI SUMAWAN</t>
  </si>
  <si>
    <t>DP Group a.n Bapak Aris (04868)via BCA CI 29-30 JUNI 2024 / TF AN ARIS</t>
  </si>
  <si>
    <t>DP Group a.n Kak Fila (04875) via BCA CI 6-7 JUNI 2024 / TF MUFLICHAH</t>
  </si>
  <si>
    <t>Dp Group an. Ainun tnt ( 04888) bca CI 26-27 JUNI 2024 / TF AN WARDATUL muniroh</t>
  </si>
  <si>
    <t>Dp Group an. Amanah Tnt ( 04918) bca CI 11-12 JUNI 2024 / TF AN AMANAH TNT</t>
  </si>
  <si>
    <t>Dp Group an. Alvi Y ( 04923) BCA CI 06-07 JUNI 2024 / TF AN ALVI YUDISTIAR</t>
  </si>
  <si>
    <t>Dp ball room an. ibu idha IWAPI ( 04898) BCA CI 28 MEI 2024 / TF IDHA TRI ASTUTI</t>
  </si>
  <si>
    <t>Dp Group an. Mts Man'abul qur'an ( 04821) bca CI 20-21 MEI 2024 / TF AN tyas sri wahyuni</t>
  </si>
  <si>
    <t>Admin</t>
  </si>
  <si>
    <t>traveloka</t>
  </si>
  <si>
    <t>DP BELUM DIKETAHUI</t>
  </si>
  <si>
    <t>Dp Group an. Amanah Tnt ( 04918) bca CI 11-12 JUNI 2024 / TF AN TITIN FURIANINGSIH</t>
  </si>
  <si>
    <t>TF TGL 30/04/2024</t>
  </si>
  <si>
    <t>TF TGL 27,04,2024</t>
  </si>
  <si>
    <t>Ket</t>
  </si>
  <si>
    <t>Handle 8 Bus 2 Hari ( 04928)</t>
  </si>
  <si>
    <t>Storan Asri graha (04929)</t>
  </si>
  <si>
    <t>Casual Fbs an. Wawan ( 04930)</t>
  </si>
  <si>
    <t>Pelunasan Iwapi ( 1074) bca</t>
  </si>
  <si>
    <t>Pengambilan sertifikat Uji kopetensi HK ( 04931)</t>
  </si>
  <si>
    <t>Refil Galon Gas</t>
  </si>
  <si>
    <t>Belanja Karpet + parkir</t>
  </si>
  <si>
    <t>Pelunasan GO a/n Wijaya Tour Travel (1070)</t>
  </si>
  <si>
    <t>Casual Servis a/n Setiawan (04932)</t>
  </si>
  <si>
    <t>Parkir Bus (04933)</t>
  </si>
  <si>
    <t>Casual Servis a/n Setiawan (04934)</t>
  </si>
  <si>
    <t>Casual Serrvis a/n Wati (04935)</t>
  </si>
  <si>
    <t>Mutasi ke BCA</t>
  </si>
  <si>
    <t>Dp Group an. Bpk Huda ( 04936) bca</t>
  </si>
  <si>
    <t>Beli Mineral Gelas&amp;Botol</t>
  </si>
  <si>
    <t>Belanja Engineering</t>
  </si>
  <si>
    <t>Fee Dinner Casual FBS a.n Wawan (04937)</t>
  </si>
  <si>
    <t>Pelunasan GO a.n Arjuna Tour Travel (1076)</t>
  </si>
  <si>
    <t>Pelunasan Group an. MKS YPUI JKT ( 1075)</t>
  </si>
  <si>
    <t>Belanja ayam</t>
  </si>
  <si>
    <t>Casual Fbs an. wawan ( 04938)</t>
  </si>
  <si>
    <t>Casual Fbs an. Wati ( 04939)</t>
  </si>
  <si>
    <t>Belanja Renov Mushola</t>
  </si>
  <si>
    <t>Casual HK an. Agus ( 04940)</t>
  </si>
  <si>
    <t>Parkir Bus (04941)</t>
  </si>
  <si>
    <t>Setoran Asri Graha (04942)</t>
  </si>
  <si>
    <t>Casual Servis a/n Setiawan (04943)</t>
  </si>
  <si>
    <t>Kasbon Karyawan a/n Imam</t>
  </si>
  <si>
    <t>Beli Semen Renov Musholla</t>
  </si>
  <si>
    <t>Kasbon Karyawan a/n Rubingun</t>
  </si>
  <si>
    <t>Kirim Dokumen ke Pak Iman</t>
  </si>
  <si>
    <t>Buang Puing-puing Renov Musholla</t>
  </si>
  <si>
    <t>DP Group a/n Kharisma Trans (04944)BCA</t>
  </si>
  <si>
    <t>Belanja Dapur 3</t>
  </si>
  <si>
    <t>Fee Casual Kitchen a.n Ibu Wati (04945)</t>
  </si>
  <si>
    <t>Fee Dinner Casual fBS a.n Wawan (04946)</t>
  </si>
  <si>
    <t>R.311 a.n Zanah Suryanta (07289)</t>
  </si>
  <si>
    <t>Fee Casual Kitchan a.n Ibu Wati (04947)</t>
  </si>
  <si>
    <t>Pelunasan Group an. Mul's Tnt ( 1077) BCA + CASH</t>
  </si>
  <si>
    <t>Storan Asri graha</t>
  </si>
  <si>
    <t>Belanja Renov mushola</t>
  </si>
  <si>
    <t>Casual Fbs an. wawan ( 04949)</t>
  </si>
  <si>
    <t>Belanja Inforter HDMI</t>
  </si>
  <si>
    <t>Bayar sewa extrabad</t>
  </si>
  <si>
    <t>Belanja Kain panggung</t>
  </si>
  <si>
    <t>04950 VOID</t>
  </si>
  <si>
    <t>Casual Hk an. pak agus 10 jam ( 04951)</t>
  </si>
  <si>
    <t>Casual Servis a/n Setiawan (04952)</t>
  </si>
  <si>
    <t>Casual Servis a/n Wati (04953)</t>
  </si>
  <si>
    <t>Sewa Sound System (04954)</t>
  </si>
  <si>
    <t>Sewa Proyektor 24/05/2024</t>
  </si>
  <si>
    <t>Sewa Proyektor 25/05/2024</t>
  </si>
  <si>
    <t>Beli Ayam (04955)</t>
  </si>
  <si>
    <t>Beli Gula</t>
  </si>
  <si>
    <t>Pelunasan GO a/n Dangiang Ratu TnT (1078)</t>
  </si>
  <si>
    <t>Pelunasan GO a/n Kurnia TnT (1079)</t>
  </si>
  <si>
    <t>Pelunasan Group an. Deva Tnt ( 1081)</t>
  </si>
  <si>
    <t>Pelunasan Group an. Smp Fatchailah (1080) bca</t>
  </si>
  <si>
    <t>Pendatapatan Minera Botol</t>
  </si>
  <si>
    <t>Handle 13 bus 2 H ( 04956)</t>
  </si>
  <si>
    <t>Casual Fnb an. wawan ( 04957)</t>
  </si>
  <si>
    <t>Casual Fnb an. wati ( 04958)</t>
  </si>
  <si>
    <t>Pel. group an. Elmadani ( 1082)</t>
  </si>
  <si>
    <t>Casual HK an. Pak Agus ( 04959) 10 jam</t>
  </si>
  <si>
    <t>Pelunasan GO a.n Ibu Maya (1083)</t>
  </si>
  <si>
    <t>Setoran Asri Graha (04960)</t>
  </si>
  <si>
    <t>Casual Servis a/n Setiawan (04961)</t>
  </si>
  <si>
    <t>Casual Servis a/n Wati (04962)</t>
  </si>
  <si>
    <t>Pembayaran Snack a/n Muls Tour Travel (04963)BCA</t>
  </si>
  <si>
    <t>Bayar Retribusi Sampah</t>
  </si>
  <si>
    <t>Belanja Renov Musholla</t>
  </si>
  <si>
    <t>DP Group a/n Deva TnT (04964)BCA</t>
  </si>
  <si>
    <t>Belanja Renov Musholla 2</t>
  </si>
  <si>
    <t>Beli PAC&amp;Kaporit</t>
  </si>
  <si>
    <t>Casual HK a/n Agus (04965)</t>
  </si>
  <si>
    <t>Transport intan</t>
  </si>
  <si>
    <t>Kasbon Tukang Renov Mushola ( 04967)</t>
  </si>
  <si>
    <t>Casual Fbs an. wawan ( 04966)</t>
  </si>
  <si>
    <t>Belanja Refil gas dan galon</t>
  </si>
  <si>
    <t>Mutasi BCA ke FO ( mb rully, mas fikri )</t>
  </si>
  <si>
    <t>Bayar Pajak PBB 2024 + Admin</t>
  </si>
  <si>
    <t>Fee Dinner Casual FBS a.n Wawan (04968)</t>
  </si>
  <si>
    <t>Pelunasan GO a.n Dirgantara AIA (1084) Cash dan Transfer BCA</t>
  </si>
  <si>
    <t>Casual fbs an. Wawan ( 04969)</t>
  </si>
  <si>
    <t>Pelunasan Group an. Mega Citra Wisata ( 1085)</t>
  </si>
  <si>
    <t>Handle 13 bus 3 hari (04970)</t>
  </si>
  <si>
    <t>Storan Asri graha ( 04971)</t>
  </si>
  <si>
    <t>Belnaja FNB + Parkir</t>
  </si>
  <si>
    <t>Belanja P3K</t>
  </si>
  <si>
    <t>Belanja Rmot TV</t>
  </si>
  <si>
    <t>Belanja renov mushola</t>
  </si>
  <si>
    <t>Casual hk an. Agus (04972)</t>
  </si>
  <si>
    <t>Pembayaran Hosting web</t>
  </si>
  <si>
    <t>Belanja Kramik musola</t>
  </si>
  <si>
    <t>Bayar Sewa proyektor</t>
  </si>
  <si>
    <t>Pendapatan renang</t>
  </si>
  <si>
    <t>Casual Servis a/n Setiawan (04973)</t>
  </si>
  <si>
    <t>Pelunasan GO a/n SMK Alam Mekar Bekasi (1087)</t>
  </si>
  <si>
    <t>Pelunasan GO a/n RD Global (1086)</t>
  </si>
  <si>
    <t>Pelunasan GO a.n PP Tahfizh Daarul quraan Bandung (1088) BCA</t>
  </si>
  <si>
    <t>Sewa Handuk Hotel Asri Graha / 13 handuk (04974)</t>
  </si>
  <si>
    <t>Bayar 5 Kamar Asri Graha 25 Mei 2024 (04975)</t>
  </si>
  <si>
    <t>Setoran Asri Graha Hotel (04976)</t>
  </si>
  <si>
    <t>Donatur RW 05 KEBROKAN</t>
  </si>
  <si>
    <t>Fee Casual FBS a.n Wawan (04977)</t>
  </si>
  <si>
    <t>Belanja Renovasi Mushola</t>
  </si>
  <si>
    <t>Beli Baterai</t>
  </si>
  <si>
    <t>Belanja Mineral Botol</t>
  </si>
  <si>
    <t>Beli Baygon Spray</t>
  </si>
  <si>
    <t>Beli Detergen Laundry</t>
  </si>
  <si>
    <t>Fee Casual FBS a.n Ibu Wati (04978)</t>
  </si>
  <si>
    <t>Fee Casual HK a.n Agus (04979)</t>
  </si>
  <si>
    <t>Pelunasan GO a/n SMP Al Falah Gango Bandung (1089)BCA</t>
  </si>
  <si>
    <t>Casual Servis a/n Setiawan (04980)</t>
  </si>
  <si>
    <t>CaSual Fbs an. wawan ( 04981)</t>
  </si>
  <si>
    <t>Dp Group an. PP Tahfizh (04982) bca</t>
  </si>
  <si>
    <t>Storan Asri graha (04983)</t>
  </si>
  <si>
    <t>R. 200 an. M Abd Charif (07290)</t>
  </si>
  <si>
    <t>Beli Peralatan Dapur + parkir</t>
  </si>
  <si>
    <t>Belanja ATK</t>
  </si>
  <si>
    <t>Pelunasan Group an. Bpk Huda ( 1090) bca</t>
  </si>
  <si>
    <t>DP Group a/n Pipih (04985)BCA</t>
  </si>
  <si>
    <t>R.305 a/n Pak Medi (07291)</t>
  </si>
  <si>
    <t>RENOVASI MUSHOLA</t>
  </si>
  <si>
    <t>retribusi sampah</t>
  </si>
  <si>
    <t>ENGINERING</t>
  </si>
  <si>
    <t>DANA CADANGAN PBB</t>
  </si>
  <si>
    <t>20K BREAKFAST</t>
  </si>
  <si>
    <t>DP BCA 01/04/2024</t>
  </si>
  <si>
    <t>04697</t>
  </si>
  <si>
    <t>-</t>
  </si>
  <si>
    <t>DP BCA 14/05/2024</t>
  </si>
  <si>
    <t>DP BCA 06/05/2024</t>
  </si>
  <si>
    <t>DP BCA 25/01/2024</t>
  </si>
  <si>
    <t>DP BCA 1 03/04/2024</t>
  </si>
  <si>
    <t>04708</t>
  </si>
  <si>
    <t>TF AN AIRPAY INTERNATIONAL</t>
  </si>
  <si>
    <t>DP 1 BCA 09/03/24 &amp; DP 2 BCA 19/04/2024</t>
  </si>
  <si>
    <t>04624 &amp; 04762</t>
  </si>
  <si>
    <t>DP 1 BCA 09/02/2024</t>
  </si>
  <si>
    <t>04506</t>
  </si>
  <si>
    <t>DP 1 BCA 18/03/2024 &amp; 27 Mei 2024</t>
  </si>
  <si>
    <t>04656 &amp; 04964</t>
  </si>
  <si>
    <t>DP 1 BCA 04/04/2024</t>
  </si>
  <si>
    <t>04763</t>
  </si>
  <si>
    <t>DP 1 BCA 18/04/2024</t>
  </si>
  <si>
    <t>04760</t>
  </si>
  <si>
    <t>DP 1 bca 11/12/2023</t>
  </si>
  <si>
    <t>04181</t>
  </si>
  <si>
    <t>DP 1 BCA 02/05/2024</t>
  </si>
  <si>
    <t>DP BCA 06/03/2024</t>
  </si>
  <si>
    <t>04614</t>
  </si>
  <si>
    <t>DP BCA 30/04/2024</t>
  </si>
  <si>
    <t>04982</t>
  </si>
  <si>
    <t>DP BCA 22/04/2024</t>
  </si>
  <si>
    <t>DP BCA 22/05/2024</t>
  </si>
  <si>
    <t>MUTASI DARI FO</t>
  </si>
  <si>
    <t>Dp Group an. Bpk Huda ( 04936) bca CI 31 MEI - 01 JUNI 2024 / TF AN HUDA</t>
  </si>
  <si>
    <t>DP Group a/n Kharisma Trans (04944)BCA CI 23-24 JUNI 2024 TF AN KASMARI</t>
  </si>
  <si>
    <t>DP Group a/n Deva TnT (04964)BCA CI 25-26 MEI 2024 / TF AN FAJAR WAHYUDI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</si>
  <si>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</si>
  <si>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</si>
  <si>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</si>
  <si>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</si>
  <si>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</si>
  <si>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</si>
  <si>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</si>
  <si>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</si>
  <si>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</si>
  <si>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</si>
  <si>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</si>
  <si>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</si>
  <si>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</si>
  <si>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</si>
  <si>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</si>
  <si>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</si>
  <si>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</si>
  <si>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</si>
  <si>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</si>
  <si>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</si>
  <si>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</si>
  <si>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</si>
  <si>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</si>
  <si>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</si>
  <si>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</si>
  <si>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</si>
  <si>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</si>
  <si>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</si>
  <si>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</si>
  <si>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</si>
  <si>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</si>
  <si>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</si>
  <si>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</si>
  <si>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</si>
  <si>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</si>
  <si>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</si>
  <si>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</si>
  <si>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</si>
  <si>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</si>
  <si>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Dp Group an. PP Tahfizh (04982) bca CI 29-30 MEI 2024/ TF AN SUNARYO</t>
  </si>
  <si>
    <t>04980</t>
  </si>
  <si>
    <t>04981</t>
  </si>
  <si>
    <t>04983</t>
  </si>
  <si>
    <t>04984</t>
  </si>
  <si>
    <t>04985</t>
  </si>
  <si>
    <t>DP Group a/n Pipih (04985)BCA  CI 02-03 JULI 2024/ TF AN IRVANIRVIANA</t>
  </si>
  <si>
    <t>REKAP MUTASI FO KE BANK MEI 2024</t>
  </si>
  <si>
    <t>PBB</t>
  </si>
  <si>
    <t>Pendatapatan Mineral Botol</t>
  </si>
  <si>
    <t>Rekap Aliran Kas Keu MEI 2024</t>
  </si>
  <si>
    <t>Saldo Awal MEI</t>
  </si>
  <si>
    <t>Mutasi Dari FO ke BCA</t>
  </si>
  <si>
    <t>pelunasan + kuitansi</t>
  </si>
  <si>
    <t>INV 1040</t>
  </si>
  <si>
    <t>INV 1041</t>
  </si>
  <si>
    <t>INV 1042</t>
  </si>
  <si>
    <t>INV 1043</t>
  </si>
  <si>
    <t>INV 1044</t>
  </si>
  <si>
    <t>INV 1045</t>
  </si>
  <si>
    <t>INV 1046</t>
  </si>
  <si>
    <t>INV 1047</t>
  </si>
  <si>
    <t>INV 1048</t>
  </si>
  <si>
    <t>INV 1049</t>
  </si>
  <si>
    <t>INV 1050</t>
  </si>
  <si>
    <t>INV 1051</t>
  </si>
  <si>
    <t>INV 1052</t>
  </si>
  <si>
    <t>Dp Group an. Ibu adawiyah (04804) bca</t>
  </si>
  <si>
    <t>INV 1053</t>
  </si>
  <si>
    <t>INV 1054</t>
  </si>
  <si>
    <t>INV 1056</t>
  </si>
  <si>
    <t>INV 1057</t>
  </si>
  <si>
    <t>INV 1059</t>
  </si>
  <si>
    <t>INV 1060</t>
  </si>
  <si>
    <t>INV 1061</t>
  </si>
  <si>
    <t>INV1062</t>
  </si>
  <si>
    <t>INV 1064</t>
  </si>
  <si>
    <t>INV 1065</t>
  </si>
  <si>
    <t>INV 1068</t>
  </si>
  <si>
    <t>INV 1069</t>
  </si>
  <si>
    <t>INV 1070</t>
  </si>
  <si>
    <t>INV 1071</t>
  </si>
  <si>
    <t>INV 1072</t>
  </si>
  <si>
    <t>INV 1073</t>
  </si>
  <si>
    <t>INV 1074</t>
  </si>
  <si>
    <t>INV 1075</t>
  </si>
  <si>
    <t>INV 1077</t>
  </si>
  <si>
    <t>INV 1078</t>
  </si>
  <si>
    <t>INV 1079</t>
  </si>
  <si>
    <t>INV 1080</t>
  </si>
  <si>
    <t>INV 1081</t>
  </si>
  <si>
    <t>INV 1082</t>
  </si>
  <si>
    <t>INV 1084</t>
  </si>
  <si>
    <t>INV 1085</t>
  </si>
  <si>
    <t>INV 1086</t>
  </si>
  <si>
    <t>INV 1087</t>
  </si>
  <si>
    <t>INV 1088</t>
  </si>
  <si>
    <t>INV 1089</t>
  </si>
  <si>
    <t>INV 1090</t>
  </si>
  <si>
    <t>Total Mei 2024</t>
  </si>
  <si>
    <t>Dana Cad PBB (PBB tahun 2024)</t>
  </si>
  <si>
    <t>Mutasi FO ke BCA</t>
  </si>
  <si>
    <t>Pengembalian Piutang Parcel</t>
  </si>
  <si>
    <t>Rekening BCA GIRO MEI 2024</t>
  </si>
  <si>
    <t>Mutasi Dari FO</t>
  </si>
  <si>
    <t>DP Umroh Pak Bayu</t>
  </si>
  <si>
    <t>Biaya Parcel (Piutang)</t>
  </si>
  <si>
    <t>Piutang Parcel</t>
  </si>
  <si>
    <t>Pengambilan Dana Cad Pbb (PBB 2024)</t>
  </si>
  <si>
    <t>Dana Cad PBB</t>
  </si>
  <si>
    <t>Penyesuaian Transaksi BRI Kandang</t>
  </si>
  <si>
    <t>Mutasi ke Kas Keuangan Dari</t>
  </si>
  <si>
    <t>NERACA 31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</si>
</sst>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F800]dddd\,\ mmmm\ dd\,\ yyyy"/>
    <numFmt numFmtId="168" formatCode="_(* #,##0_);_(* \(#,##0\);_(* &quot;-&quot;??_);_(@_)"/>
    <numFmt numFmtId="169" formatCode="[$-421]dd\ mmmm\ yy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Roboto"/>
    </font>
    <font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165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9" fillId="0" borderId="0"/>
    <xf numFmtId="0" fontId="10" fillId="0" borderId="0"/>
    <xf numFmtId="0" fontId="9" fillId="0" borderId="0"/>
    <xf numFmtId="0" fontId="8" fillId="0" borderId="0"/>
    <xf numFmtId="0" fontId="7" fillId="0" borderId="0"/>
    <xf numFmtId="166" fontId="11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0" fontId="3" fillId="0" borderId="0"/>
    <xf numFmtId="0" fontId="1" fillId="0" borderId="0"/>
  </cellStyleXfs>
  <cellXfs count="536">
    <xf numFmtId="0" fontId="0" fillId="0" borderId="0" xfId="0"/>
    <xf numFmtId="165" fontId="12" fillId="0" borderId="1" xfId="1" applyFont="1" applyFill="1" applyBorder="1" applyAlignment="1">
      <alignment vertical="center"/>
    </xf>
    <xf numFmtId="165" fontId="12" fillId="0" borderId="0" xfId="1" applyFont="1" applyFill="1" applyBorder="1" applyAlignment="1">
      <alignment vertical="center"/>
    </xf>
    <xf numFmtId="165" fontId="12" fillId="0" borderId="0" xfId="1" applyFont="1" applyFill="1" applyBorder="1" applyAlignment="1">
      <alignment vertical="center" wrapText="1"/>
    </xf>
    <xf numFmtId="165" fontId="12" fillId="0" borderId="0" xfId="1" applyFont="1" applyFill="1" applyBorder="1"/>
    <xf numFmtId="165" fontId="12" fillId="0" borderId="0" xfId="1" applyFont="1" applyFill="1"/>
    <xf numFmtId="165" fontId="12" fillId="0" borderId="1" xfId="1" applyFont="1" applyFill="1" applyBorder="1"/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8" xfId="0" applyBorder="1"/>
    <xf numFmtId="0" fontId="12" fillId="0" borderId="10" xfId="0" quotePrefix="1" applyFont="1" applyBorder="1" applyAlignment="1">
      <alignment horizontal="center"/>
    </xf>
    <xf numFmtId="165" fontId="0" fillId="0" borderId="0" xfId="0" applyNumberFormat="1"/>
    <xf numFmtId="41" fontId="12" fillId="0" borderId="0" xfId="0" applyNumberFormat="1" applyFont="1"/>
    <xf numFmtId="0" fontId="12" fillId="0" borderId="0" xfId="0" applyFont="1"/>
    <xf numFmtId="41" fontId="0" fillId="0" borderId="0" xfId="0" applyNumberFormat="1"/>
    <xf numFmtId="16" fontId="12" fillId="0" borderId="1" xfId="1" applyNumberFormat="1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/>
    <xf numFmtId="165" fontId="12" fillId="0" borderId="1" xfId="1" applyFont="1" applyBorder="1"/>
    <xf numFmtId="0" fontId="17" fillId="0" borderId="0" xfId="0" applyFont="1" applyAlignment="1">
      <alignment vertical="top"/>
    </xf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12" fillId="0" borderId="1" xfId="1" applyFont="1" applyBorder="1" applyAlignment="1">
      <alignment horizontal="center"/>
    </xf>
    <xf numFmtId="42" fontId="0" fillId="0" borderId="0" xfId="0" applyNumberFormat="1"/>
    <xf numFmtId="0" fontId="17" fillId="0" borderId="1" xfId="0" applyFont="1" applyBorder="1" applyAlignment="1">
      <alignment horizontal="center" vertical="top"/>
    </xf>
    <xf numFmtId="167" fontId="17" fillId="0" borderId="1" xfId="0" applyNumberFormat="1" applyFont="1" applyBorder="1" applyAlignment="1">
      <alignment horizontal="center" vertical="top"/>
    </xf>
    <xf numFmtId="165" fontId="12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12" fillId="0" borderId="10" xfId="1" applyFont="1" applyFill="1" applyBorder="1" applyAlignment="1">
      <alignment horizontal="center" vertical="center"/>
    </xf>
    <xf numFmtId="165" fontId="12" fillId="0" borderId="7" xfId="1" applyFont="1" applyFill="1" applyBorder="1" applyAlignment="1">
      <alignment horizontal="center" vertical="center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12" fillId="3" borderId="1" xfId="0" applyFont="1" applyFill="1" applyBorder="1"/>
    <xf numFmtId="165" fontId="11" fillId="0" borderId="1" xfId="1" applyFont="1" applyFill="1" applyBorder="1"/>
    <xf numFmtId="0" fontId="0" fillId="0" borderId="0" xfId="0" applyAlignment="1">
      <alignment horizontal="center"/>
    </xf>
    <xf numFmtId="165" fontId="12" fillId="4" borderId="1" xfId="1" applyFont="1" applyFill="1" applyBorder="1"/>
    <xf numFmtId="0" fontId="12" fillId="0" borderId="0" xfId="0" applyFont="1" applyAlignment="1">
      <alignment horizontal="center"/>
    </xf>
    <xf numFmtId="165" fontId="11" fillId="0" borderId="1" xfId="1" applyFont="1" applyBorder="1"/>
    <xf numFmtId="164" fontId="0" fillId="0" borderId="0" xfId="0" applyNumberFormat="1"/>
    <xf numFmtId="165" fontId="17" fillId="0" borderId="1" xfId="1" applyFont="1" applyFill="1" applyBorder="1"/>
    <xf numFmtId="165" fontId="17" fillId="0" borderId="0" xfId="1" applyFont="1" applyFill="1"/>
    <xf numFmtId="165" fontId="11" fillId="0" borderId="1" xfId="1" applyFont="1" applyFill="1" applyBorder="1" applyAlignment="1">
      <alignment vertical="center"/>
    </xf>
    <xf numFmtId="165" fontId="11" fillId="0" borderId="7" xfId="1" applyFont="1" applyFill="1" applyBorder="1" applyAlignment="1">
      <alignment vertical="center"/>
    </xf>
    <xf numFmtId="165" fontId="11" fillId="0" borderId="0" xfId="1" applyFont="1" applyFill="1"/>
    <xf numFmtId="165" fontId="17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7" fillId="0" borderId="1" xfId="0" applyFont="1" applyBorder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 vertical="top"/>
    </xf>
    <xf numFmtId="167" fontId="17" fillId="0" borderId="0" xfId="0" applyNumberFormat="1" applyFont="1" applyAlignment="1">
      <alignment horizontal="center" vertical="top"/>
    </xf>
    <xf numFmtId="42" fontId="17" fillId="0" borderId="1" xfId="1" applyNumberFormat="1" applyFont="1" applyFill="1" applyBorder="1" applyAlignment="1">
      <alignment vertical="top"/>
    </xf>
    <xf numFmtId="42" fontId="11" fillId="0" borderId="0" xfId="0" applyNumberFormat="1" applyFont="1"/>
    <xf numFmtId="165" fontId="0" fillId="0" borderId="7" xfId="1" applyFont="1" applyFill="1" applyBorder="1" applyAlignment="1">
      <alignment vertical="center"/>
    </xf>
    <xf numFmtId="165" fontId="17" fillId="0" borderId="7" xfId="1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165" fontId="0" fillId="4" borderId="1" xfId="0" applyNumberFormat="1" applyFill="1" applyBorder="1"/>
    <xf numFmtId="0" fontId="12" fillId="0" borderId="1" xfId="0" applyFont="1" applyBorder="1" applyAlignment="1">
      <alignment horizontal="center"/>
    </xf>
    <xf numFmtId="165" fontId="20" fillId="0" borderId="1" xfId="1" applyFont="1" applyFill="1" applyBorder="1"/>
    <xf numFmtId="41" fontId="17" fillId="0" borderId="1" xfId="0" applyNumberFormat="1" applyFont="1" applyBorder="1" applyAlignment="1">
      <alignment horizontal="left" vertical="center"/>
    </xf>
    <xf numFmtId="41" fontId="17" fillId="0" borderId="1" xfId="2" applyFont="1" applyBorder="1"/>
    <xf numFmtId="0" fontId="20" fillId="0" borderId="0" xfId="0" applyFont="1" applyAlignment="1">
      <alignment horizontal="center" vertical="center"/>
    </xf>
    <xf numFmtId="41" fontId="20" fillId="0" borderId="6" xfId="0" applyNumberFormat="1" applyFont="1" applyBorder="1"/>
    <xf numFmtId="41" fontId="17" fillId="0" borderId="1" xfId="0" applyNumberFormat="1" applyFont="1" applyBorder="1"/>
    <xf numFmtId="165" fontId="17" fillId="0" borderId="1" xfId="1" applyFont="1" applyBorder="1"/>
    <xf numFmtId="41" fontId="17" fillId="0" borderId="6" xfId="0" applyNumberFormat="1" applyFont="1" applyBorder="1"/>
    <xf numFmtId="165" fontId="11" fillId="0" borderId="0" xfId="1" applyFont="1" applyFill="1" applyAlignment="1">
      <alignment horizontal="center"/>
    </xf>
    <xf numFmtId="165" fontId="11" fillId="0" borderId="1" xfId="1" applyFont="1" applyFill="1" applyBorder="1" applyAlignment="1"/>
    <xf numFmtId="165" fontId="11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1" fillId="0" borderId="1" xfId="1" applyNumberFormat="1" applyFont="1" applyFill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 wrapText="1"/>
    </xf>
    <xf numFmtId="165" fontId="11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65" fontId="16" fillId="0" borderId="1" xfId="1" applyFont="1" applyFill="1" applyBorder="1" applyAlignment="1">
      <alignment horizontal="center" vertical="center"/>
    </xf>
    <xf numFmtId="165" fontId="17" fillId="0" borderId="1" xfId="1" applyFont="1" applyFill="1" applyBorder="1" applyAlignment="1">
      <alignment vertical="center"/>
    </xf>
    <xf numFmtId="165" fontId="0" fillId="5" borderId="1" xfId="1" applyFont="1" applyFill="1" applyBorder="1"/>
    <xf numFmtId="165" fontId="0" fillId="5" borderId="1" xfId="0" applyNumberFormat="1" applyFill="1" applyBorder="1"/>
    <xf numFmtId="165" fontId="0" fillId="6" borderId="1" xfId="1" applyFont="1" applyFill="1" applyBorder="1"/>
    <xf numFmtId="165" fontId="0" fillId="6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42" fontId="17" fillId="0" borderId="0" xfId="1" applyNumberFormat="1" applyFont="1" applyFill="1" applyBorder="1" applyAlignment="1">
      <alignment vertical="top"/>
    </xf>
    <xf numFmtId="165" fontId="17" fillId="0" borderId="3" xfId="1" applyFont="1" applyFill="1" applyBorder="1" applyAlignment="1">
      <alignment horizontal="center" vertical="center"/>
    </xf>
    <xf numFmtId="165" fontId="20" fillId="3" borderId="1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 wrapText="1"/>
    </xf>
    <xf numFmtId="165" fontId="12" fillId="0" borderId="0" xfId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7" xfId="1" applyFont="1" applyBorder="1"/>
    <xf numFmtId="165" fontId="12" fillId="0" borderId="0" xfId="0" applyNumberFormat="1" applyFont="1"/>
    <xf numFmtId="165" fontId="20" fillId="0" borderId="1" xfId="1" applyFont="1" applyFill="1" applyBorder="1" applyAlignment="1">
      <alignment horizontal="center" vertical="center"/>
    </xf>
    <xf numFmtId="0" fontId="12" fillId="0" borderId="9" xfId="0" quotePrefix="1" applyFont="1" applyBorder="1" applyAlignment="1">
      <alignment vertical="center"/>
    </xf>
    <xf numFmtId="0" fontId="12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11" fillId="0" borderId="0" xfId="0" applyNumberFormat="1" applyFont="1"/>
    <xf numFmtId="0" fontId="11" fillId="0" borderId="0" xfId="0" applyFont="1"/>
    <xf numFmtId="165" fontId="11" fillId="0" borderId="1" xfId="0" applyNumberFormat="1" applyFont="1" applyBorder="1"/>
    <xf numFmtId="165" fontId="20" fillId="0" borderId="1" xfId="1" applyFont="1" applyBorder="1" applyAlignment="1">
      <alignment vertical="center"/>
    </xf>
    <xf numFmtId="165" fontId="17" fillId="0" borderId="0" xfId="1" applyFont="1"/>
    <xf numFmtId="165" fontId="20" fillId="0" borderId="0" xfId="1" applyFont="1" applyBorder="1" applyAlignment="1"/>
    <xf numFmtId="165" fontId="17" fillId="0" borderId="0" xfId="1" applyFont="1" applyBorder="1" applyAlignment="1">
      <alignment vertical="center"/>
    </xf>
    <xf numFmtId="0" fontId="17" fillId="0" borderId="0" xfId="0" applyFont="1" applyAlignment="1">
      <alignment horizontal="center"/>
    </xf>
    <xf numFmtId="165" fontId="0" fillId="7" borderId="1" xfId="1" applyFont="1" applyFill="1" applyBorder="1"/>
    <xf numFmtId="165" fontId="0" fillId="7" borderId="1" xfId="0" applyNumberFormat="1" applyFill="1" applyBorder="1"/>
    <xf numFmtId="41" fontId="0" fillId="0" borderId="0" xfId="1" applyNumberFormat="1" applyFont="1"/>
    <xf numFmtId="41" fontId="16" fillId="0" borderId="1" xfId="1" applyNumberFormat="1" applyFont="1" applyFill="1" applyBorder="1" applyAlignment="1">
      <alignment horizontal="center" vertical="center"/>
    </xf>
    <xf numFmtId="41" fontId="16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17" fillId="0" borderId="1" xfId="1" applyFont="1" applyFill="1" applyBorder="1" applyAlignment="1">
      <alignment horizontal="center" vertical="center"/>
    </xf>
    <xf numFmtId="165" fontId="17" fillId="0" borderId="1" xfId="1" applyFont="1" applyFill="1" applyBorder="1" applyAlignment="1">
      <alignment horizontal="left" vertical="center"/>
    </xf>
    <xf numFmtId="0" fontId="17" fillId="0" borderId="3" xfId="1" applyNumberFormat="1" applyFont="1" applyFill="1" applyBorder="1" applyAlignment="1">
      <alignment horizontal="left" vertical="top"/>
    </xf>
    <xf numFmtId="0" fontId="17" fillId="0" borderId="1" xfId="1" applyNumberFormat="1" applyFont="1" applyFill="1" applyBorder="1" applyAlignment="1">
      <alignment horizontal="left" vertical="top"/>
    </xf>
    <xf numFmtId="0" fontId="20" fillId="0" borderId="0" xfId="0" applyFont="1"/>
    <xf numFmtId="0" fontId="17" fillId="0" borderId="1" xfId="1" applyNumberFormat="1" applyFont="1" applyFill="1" applyBorder="1" applyAlignment="1">
      <alignment horizontal="left" vertical="top" wrapText="1"/>
    </xf>
    <xf numFmtId="41" fontId="17" fillId="0" borderId="1" xfId="1" applyNumberFormat="1" applyFont="1" applyBorder="1"/>
    <xf numFmtId="41" fontId="17" fillId="0" borderId="9" xfId="1" applyNumberFormat="1" applyFont="1" applyBorder="1"/>
    <xf numFmtId="0" fontId="17" fillId="0" borderId="1" xfId="0" applyFont="1" applyBorder="1"/>
    <xf numFmtId="41" fontId="17" fillId="0" borderId="1" xfId="1" applyNumberFormat="1" applyFont="1" applyFill="1" applyBorder="1" applyAlignment="1">
      <alignment vertical="center"/>
    </xf>
    <xf numFmtId="41" fontId="17" fillId="0" borderId="9" xfId="0" applyNumberFormat="1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7" fillId="0" borderId="3" xfId="1" applyFont="1" applyFill="1" applyBorder="1" applyAlignment="1">
      <alignment vertical="center"/>
    </xf>
    <xf numFmtId="165" fontId="20" fillId="0" borderId="10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5" fontId="11" fillId="0" borderId="1" xfId="1" applyNumberFormat="1" applyFont="1" applyFill="1" applyBorder="1" applyAlignment="1"/>
    <xf numFmtId="16" fontId="11" fillId="0" borderId="1" xfId="1" applyNumberFormat="1" applyFont="1" applyFill="1" applyBorder="1" applyAlignment="1"/>
    <xf numFmtId="1" fontId="17" fillId="0" borderId="1" xfId="1" quotePrefix="1" applyNumberFormat="1" applyFont="1" applyFill="1" applyBorder="1" applyAlignment="1">
      <alignment horizontal="center" vertical="center"/>
    </xf>
    <xf numFmtId="165" fontId="0" fillId="0" borderId="0" xfId="1" applyFont="1" applyBorder="1" applyAlignment="1">
      <alignment vertical="center"/>
    </xf>
    <xf numFmtId="165" fontId="12" fillId="0" borderId="0" xfId="1" applyFont="1" applyAlignment="1"/>
    <xf numFmtId="165" fontId="0" fillId="0" borderId="0" xfId="1" applyFont="1" applyAlignment="1"/>
    <xf numFmtId="165" fontId="17" fillId="0" borderId="0" xfId="0" applyNumberFormat="1" applyFont="1"/>
    <xf numFmtId="49" fontId="17" fillId="0" borderId="1" xfId="0" quotePrefix="1" applyNumberFormat="1" applyFont="1" applyBorder="1" applyAlignment="1">
      <alignment horizontal="center" vertical="center"/>
    </xf>
    <xf numFmtId="0" fontId="17" fillId="0" borderId="1" xfId="0" quotePrefix="1" applyFont="1" applyBorder="1"/>
    <xf numFmtId="165" fontId="21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41" fontId="15" fillId="0" borderId="11" xfId="0" applyNumberFormat="1" applyFont="1" applyBorder="1" applyAlignment="1">
      <alignment horizontal="left" vertical="center"/>
    </xf>
    <xf numFmtId="0" fontId="12" fillId="0" borderId="2" xfId="0" applyFont="1" applyBorder="1"/>
    <xf numFmtId="0" fontId="0" fillId="0" borderId="5" xfId="0" applyBorder="1"/>
    <xf numFmtId="0" fontId="12" fillId="0" borderId="3" xfId="0" quotePrefix="1" applyFont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165" fontId="15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right" vertical="center"/>
    </xf>
    <xf numFmtId="165" fontId="23" fillId="0" borderId="1" xfId="1" applyFont="1" applyFill="1" applyBorder="1" applyAlignment="1">
      <alignment horizontal="center" vertical="center"/>
    </xf>
    <xf numFmtId="165" fontId="26" fillId="0" borderId="1" xfId="1" applyFont="1" applyFill="1" applyBorder="1" applyAlignment="1">
      <alignment horizontal="center" vertical="center"/>
    </xf>
    <xf numFmtId="0" fontId="23" fillId="0" borderId="0" xfId="0" applyFont="1"/>
    <xf numFmtId="0" fontId="12" fillId="3" borderId="1" xfId="0" applyFont="1" applyFill="1" applyBorder="1" applyAlignment="1">
      <alignment horizontal="center" vertical="center"/>
    </xf>
    <xf numFmtId="165" fontId="22" fillId="0" borderId="1" xfId="1" applyFont="1" applyBorder="1" applyAlignment="1">
      <alignment horizontal="center" vertical="center"/>
    </xf>
    <xf numFmtId="165" fontId="27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11" fillId="0" borderId="1" xfId="1" applyFont="1" applyBorder="1" applyAlignment="1">
      <alignment horizontal="center" vertical="center"/>
    </xf>
    <xf numFmtId="165" fontId="12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1" fontId="12" fillId="0" borderId="1" xfId="1" applyNumberFormat="1" applyFont="1" applyBorder="1" applyAlignment="1">
      <alignment horizontal="center" vertical="center"/>
    </xf>
    <xf numFmtId="41" fontId="12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21" fillId="0" borderId="1" xfId="0" applyFont="1" applyBorder="1" applyAlignment="1">
      <alignment wrapText="1"/>
    </xf>
    <xf numFmtId="41" fontId="16" fillId="0" borderId="1" xfId="1" applyNumberFormat="1" applyFont="1" applyFill="1" applyBorder="1" applyAlignment="1">
      <alignment horizontal="center" vertical="center" wrapText="1"/>
    </xf>
    <xf numFmtId="0" fontId="28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9" xfId="0" applyNumberFormat="1" applyBorder="1" applyAlignment="1">
      <alignment vertical="center"/>
    </xf>
    <xf numFmtId="49" fontId="18" fillId="2" borderId="1" xfId="14" applyNumberFormat="1" applyFont="1" applyFill="1" applyBorder="1"/>
    <xf numFmtId="41" fontId="17" fillId="0" borderId="1" xfId="1" applyNumberFormat="1" applyFont="1" applyBorder="1" applyAlignment="1"/>
    <xf numFmtId="165" fontId="17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12" fillId="0" borderId="4" xfId="0" applyFont="1" applyBorder="1"/>
    <xf numFmtId="165" fontId="17" fillId="0" borderId="1" xfId="1" applyFont="1" applyFill="1" applyBorder="1" applyAlignment="1">
      <alignment horizontal="center"/>
    </xf>
    <xf numFmtId="16" fontId="17" fillId="0" borderId="1" xfId="1" applyNumberFormat="1" applyFont="1" applyFill="1" applyBorder="1" applyAlignment="1">
      <alignment vertical="center"/>
    </xf>
    <xf numFmtId="168" fontId="0" fillId="0" borderId="0" xfId="13" applyNumberFormat="1" applyFont="1"/>
    <xf numFmtId="41" fontId="17" fillId="0" borderId="1" xfId="1" applyNumberFormat="1" applyFont="1" applyBorder="1" applyAlignment="1">
      <alignment horizontal="center"/>
    </xf>
    <xf numFmtId="41" fontId="17" fillId="0" borderId="1" xfId="1" applyNumberFormat="1" applyFont="1" applyFill="1" applyBorder="1" applyAlignment="1">
      <alignment horizontal="center"/>
    </xf>
    <xf numFmtId="165" fontId="18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/>
    </xf>
    <xf numFmtId="165" fontId="18" fillId="0" borderId="1" xfId="1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/>
    <xf numFmtId="168" fontId="12" fillId="0" borderId="1" xfId="13" applyNumberFormat="1" applyFont="1" applyBorder="1" applyAlignment="1">
      <alignment horizontal="center" vertical="center"/>
    </xf>
    <xf numFmtId="168" fontId="0" fillId="0" borderId="1" xfId="13" applyNumberFormat="1" applyFont="1" applyBorder="1" applyAlignment="1"/>
    <xf numFmtId="168" fontId="12" fillId="0" borderId="1" xfId="13" applyNumberFormat="1" applyFont="1" applyBorder="1"/>
    <xf numFmtId="168" fontId="17" fillId="0" borderId="0" xfId="0" applyNumberFormat="1" applyFont="1"/>
    <xf numFmtId="165" fontId="0" fillId="0" borderId="0" xfId="1" applyFont="1" applyFill="1" applyAlignment="1">
      <alignment horizontal="right"/>
    </xf>
    <xf numFmtId="165" fontId="0" fillId="0" borderId="1" xfId="1" applyFont="1" applyBorder="1" applyAlignment="1">
      <alignment vertical="center"/>
    </xf>
    <xf numFmtId="41" fontId="12" fillId="0" borderId="1" xfId="2" applyFont="1" applyBorder="1" applyAlignment="1">
      <alignment horizontal="center" vertical="center" wrapText="1"/>
    </xf>
    <xf numFmtId="41" fontId="12" fillId="0" borderId="1" xfId="1" applyNumberFormat="1" applyFont="1" applyBorder="1" applyAlignment="1">
      <alignment horizontal="center" vertical="center" wrapText="1"/>
    </xf>
    <xf numFmtId="41" fontId="12" fillId="0" borderId="1" xfId="1" applyNumberFormat="1" applyFont="1" applyBorder="1"/>
    <xf numFmtId="0" fontId="11" fillId="0" borderId="1" xfId="2" applyNumberFormat="1" applyFont="1" applyBorder="1" applyAlignment="1">
      <alignment horizontal="center" vertical="center" wrapText="1"/>
    </xf>
    <xf numFmtId="41" fontId="11" fillId="0" borderId="1" xfId="1" applyNumberFormat="1" applyFont="1" applyBorder="1"/>
    <xf numFmtId="41" fontId="11" fillId="0" borderId="1" xfId="2" applyFont="1" applyBorder="1" applyAlignment="1">
      <alignment horizontal="left" vertical="center" wrapText="1"/>
    </xf>
    <xf numFmtId="41" fontId="0" fillId="0" borderId="1" xfId="0" applyNumberFormat="1" applyBorder="1" applyAlignment="1">
      <alignment wrapText="1"/>
    </xf>
    <xf numFmtId="41" fontId="11" fillId="0" borderId="1" xfId="1" applyNumberFormat="1" applyFont="1" applyBorder="1" applyAlignment="1">
      <alignment horizontal="center"/>
    </xf>
    <xf numFmtId="41" fontId="12" fillId="0" borderId="0" xfId="2" applyFont="1" applyBorder="1" applyAlignment="1">
      <alignment horizontal="center" vertical="center"/>
    </xf>
    <xf numFmtId="41" fontId="15" fillId="0" borderId="13" xfId="5" applyNumberFormat="1" applyFont="1" applyBorder="1" applyAlignment="1">
      <alignment horizontal="center" vertical="center"/>
    </xf>
    <xf numFmtId="41" fontId="15" fillId="0" borderId="13" xfId="1" applyNumberFormat="1" applyFont="1" applyFill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12" fillId="0" borderId="1" xfId="5" applyNumberFormat="1" applyFont="1" applyBorder="1" applyAlignment="1">
      <alignment horizontal="center"/>
    </xf>
    <xf numFmtId="41" fontId="11" fillId="0" borderId="1" xfId="0" applyNumberFormat="1" applyFont="1" applyBorder="1" applyAlignment="1">
      <alignment wrapText="1"/>
    </xf>
    <xf numFmtId="41" fontId="23" fillId="0" borderId="10" xfId="0" applyNumberFormat="1" applyFont="1" applyBorder="1" applyAlignment="1">
      <alignment horizontal="left" vertical="top"/>
    </xf>
    <xf numFmtId="41" fontId="11" fillId="0" borderId="0" xfId="0" applyNumberFormat="1" applyFont="1"/>
    <xf numFmtId="0" fontId="11" fillId="0" borderId="1" xfId="0" applyFont="1" applyBorder="1"/>
    <xf numFmtId="41" fontId="15" fillId="0" borderId="11" xfId="5" applyNumberFormat="1" applyFont="1" applyBorder="1" applyAlignment="1">
      <alignment horizontal="center" vertical="center"/>
    </xf>
    <xf numFmtId="41" fontId="15" fillId="0" borderId="11" xfId="1" applyNumberFormat="1" applyFont="1" applyFill="1" applyBorder="1" applyAlignment="1">
      <alignment horizontal="center" vertical="center"/>
    </xf>
    <xf numFmtId="0" fontId="32" fillId="0" borderId="8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0" fillId="0" borderId="13" xfId="0" applyBorder="1"/>
    <xf numFmtId="168" fontId="0" fillId="0" borderId="13" xfId="13" applyNumberFormat="1" applyFont="1" applyBorder="1"/>
    <xf numFmtId="168" fontId="12" fillId="0" borderId="0" xfId="13" applyNumberFormat="1" applyFont="1"/>
    <xf numFmtId="0" fontId="33" fillId="0" borderId="0" xfId="0" applyFont="1"/>
    <xf numFmtId="41" fontId="12" fillId="0" borderId="9" xfId="0" applyNumberFormat="1" applyFont="1" applyBorder="1" applyAlignment="1">
      <alignment horizontal="center" vertical="center"/>
    </xf>
    <xf numFmtId="41" fontId="12" fillId="0" borderId="4" xfId="0" applyNumberFormat="1" applyFont="1" applyBorder="1" applyAlignment="1">
      <alignment horizontal="center" vertical="center"/>
    </xf>
    <xf numFmtId="41" fontId="12" fillId="0" borderId="3" xfId="0" applyNumberFormat="1" applyFont="1" applyBorder="1" applyAlignment="1">
      <alignment horizontal="center" vertical="center"/>
    </xf>
    <xf numFmtId="41" fontId="13" fillId="0" borderId="0" xfId="2" applyFont="1" applyBorder="1" applyAlignment="1">
      <alignment vertical="center" wrapText="1"/>
    </xf>
    <xf numFmtId="41" fontId="13" fillId="0" borderId="2" xfId="2" applyFont="1" applyBorder="1" applyAlignment="1">
      <alignment vertical="center" wrapText="1"/>
    </xf>
    <xf numFmtId="41" fontId="13" fillId="0" borderId="2" xfId="2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168" fontId="15" fillId="0" borderId="0" xfId="13" applyNumberFormat="1" applyFont="1" applyAlignment="1">
      <alignment horizontal="center"/>
    </xf>
    <xf numFmtId="0" fontId="29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13" applyNumberFormat="1" applyFont="1" applyFill="1"/>
    <xf numFmtId="168" fontId="21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17" fillId="0" borderId="0" xfId="13" applyNumberFormat="1" applyFont="1" applyFill="1"/>
    <xf numFmtId="0" fontId="0" fillId="0" borderId="1" xfId="0" applyBorder="1"/>
    <xf numFmtId="165" fontId="21" fillId="0" borderId="1" xfId="1" applyFont="1" applyFill="1" applyBorder="1" applyAlignment="1">
      <alignment horizontal="center" vertical="center"/>
    </xf>
    <xf numFmtId="49" fontId="18" fillId="2" borderId="1" xfId="14" applyNumberFormat="1" applyFont="1" applyFill="1" applyBorder="1" applyAlignment="1">
      <alignment horizontal="center"/>
    </xf>
    <xf numFmtId="49" fontId="18" fillId="0" borderId="1" xfId="14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165" fontId="17" fillId="0" borderId="1" xfId="0" applyNumberFormat="1" applyFont="1" applyBorder="1"/>
    <xf numFmtId="165" fontId="11" fillId="0" borderId="0" xfId="0" applyNumberFormat="1" applyFont="1" applyBorder="1"/>
    <xf numFmtId="0" fontId="0" fillId="0" borderId="1" xfId="0" applyBorder="1"/>
    <xf numFmtId="165" fontId="0" fillId="0" borderId="0" xfId="0" applyNumberFormat="1" applyBorder="1"/>
    <xf numFmtId="165" fontId="0" fillId="4" borderId="0" xfId="0" applyNumberFormat="1" applyFill="1" applyBorder="1"/>
    <xf numFmtId="165" fontId="0" fillId="5" borderId="0" xfId="0" applyNumberFormat="1" applyFill="1" applyBorder="1"/>
    <xf numFmtId="41" fontId="34" fillId="0" borderId="9" xfId="1" applyNumberFormat="1" applyFont="1" applyBorder="1"/>
    <xf numFmtId="165" fontId="17" fillId="0" borderId="12" xfId="1" applyFont="1" applyFill="1" applyBorder="1" applyAlignment="1">
      <alignment horizontal="center" vertical="center"/>
    </xf>
    <xf numFmtId="0" fontId="0" fillId="0" borderId="1" xfId="0" applyBorder="1" applyAlignment="1"/>
    <xf numFmtId="41" fontId="20" fillId="0" borderId="0" xfId="0" applyNumberFormat="1" applyFont="1"/>
    <xf numFmtId="41" fontId="0" fillId="0" borderId="0" xfId="0" applyNumberFormat="1" applyFont="1"/>
    <xf numFmtId="0" fontId="0" fillId="0" borderId="0" xfId="0" applyAlignment="1">
      <alignment horizontal="center" vertical="center"/>
    </xf>
    <xf numFmtId="168" fontId="17" fillId="0" borderId="0" xfId="13" applyNumberFormat="1" applyFont="1"/>
    <xf numFmtId="168" fontId="17" fillId="0" borderId="0" xfId="13" applyNumberFormat="1" applyFont="1" applyAlignment="1">
      <alignment vertical="center"/>
    </xf>
    <xf numFmtId="168" fontId="17" fillId="0" borderId="0" xfId="13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/>
    <xf numFmtId="168" fontId="0" fillId="0" borderId="0" xfId="13" applyNumberFormat="1" applyFont="1" applyBorder="1" applyAlignment="1">
      <alignment vertical="center"/>
    </xf>
    <xf numFmtId="41" fontId="11" fillId="0" borderId="1" xfId="1" applyNumberFormat="1" applyFont="1" applyBorder="1" applyAlignment="1">
      <alignment horizontal="right"/>
    </xf>
    <xf numFmtId="41" fontId="11" fillId="0" borderId="1" xfId="1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0" fontId="23" fillId="0" borderId="0" xfId="0" applyFont="1" applyBorder="1" applyAlignment="1">
      <alignment horizontal="center" vertical="top"/>
    </xf>
    <xf numFmtId="41" fontId="17" fillId="0" borderId="1" xfId="0" applyNumberFormat="1" applyFont="1" applyFill="1" applyBorder="1"/>
    <xf numFmtId="0" fontId="0" fillId="0" borderId="4" xfId="0" applyFill="1" applyBorder="1" applyAlignment="1"/>
    <xf numFmtId="165" fontId="20" fillId="11" borderId="0" xfId="1" applyFont="1" applyFill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2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168" fontId="12" fillId="0" borderId="0" xfId="13" applyNumberFormat="1" applyFont="1" applyBorder="1" applyAlignment="1">
      <alignment horizontal="center"/>
    </xf>
    <xf numFmtId="0" fontId="29" fillId="0" borderId="0" xfId="0" applyFont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165" fontId="29" fillId="0" borderId="0" xfId="1" applyFont="1" applyBorder="1" applyAlignment="1">
      <alignment horizontal="left" vertical="top"/>
    </xf>
    <xf numFmtId="0" fontId="29" fillId="0" borderId="0" xfId="0" applyFont="1" applyBorder="1"/>
    <xf numFmtId="168" fontId="12" fillId="0" borderId="0" xfId="13" applyNumberFormat="1" applyFont="1" applyBorder="1"/>
    <xf numFmtId="165" fontId="29" fillId="8" borderId="0" xfId="1" applyFont="1" applyFill="1" applyBorder="1" applyAlignment="1">
      <alignment vertical="center"/>
    </xf>
    <xf numFmtId="0" fontId="29" fillId="8" borderId="0" xfId="0" applyFont="1" applyFill="1" applyBorder="1"/>
    <xf numFmtId="168" fontId="0" fillId="8" borderId="0" xfId="13" applyNumberFormat="1" applyFont="1" applyFill="1" applyBorder="1"/>
    <xf numFmtId="0" fontId="29" fillId="0" borderId="0" xfId="1" applyNumberFormat="1" applyFont="1" applyFill="1" applyBorder="1" applyAlignment="1">
      <alignment vertical="center"/>
    </xf>
    <xf numFmtId="165" fontId="29" fillId="0" borderId="0" xfId="1" applyFont="1" applyBorder="1"/>
    <xf numFmtId="0" fontId="29" fillId="0" borderId="0" xfId="1" applyNumberFormat="1" applyFont="1" applyBorder="1" applyAlignment="1">
      <alignment vertical="center"/>
    </xf>
    <xf numFmtId="0" fontId="29" fillId="0" borderId="0" xfId="0" applyFont="1" applyBorder="1" applyAlignment="1">
      <alignment horizontal="left"/>
    </xf>
    <xf numFmtId="0" fontId="29" fillId="8" borderId="0" xfId="0" applyFont="1" applyFill="1" applyBorder="1" applyAlignment="1">
      <alignment vertical="top"/>
    </xf>
    <xf numFmtId="0" fontId="29" fillId="8" borderId="0" xfId="0" applyFont="1" applyFill="1" applyBorder="1" applyAlignment="1">
      <alignment horizontal="left" vertical="top"/>
    </xf>
    <xf numFmtId="0" fontId="31" fillId="0" borderId="0" xfId="1" applyNumberFormat="1" applyFont="1" applyBorder="1" applyAlignment="1">
      <alignment vertical="center"/>
    </xf>
    <xf numFmtId="0" fontId="31" fillId="0" borderId="0" xfId="1" applyNumberFormat="1" applyFont="1" applyBorder="1" applyAlignment="1">
      <alignment horizontal="left" vertical="top"/>
    </xf>
    <xf numFmtId="0" fontId="31" fillId="9" borderId="0" xfId="1" applyNumberFormat="1" applyFont="1" applyFill="1" applyBorder="1" applyAlignment="1">
      <alignment vertical="center"/>
    </xf>
    <xf numFmtId="0" fontId="29" fillId="9" borderId="0" xfId="0" applyFont="1" applyFill="1" applyBorder="1" applyAlignment="1">
      <alignment horizontal="left" vertical="top"/>
    </xf>
    <xf numFmtId="168" fontId="0" fillId="9" borderId="0" xfId="13" applyNumberFormat="1" applyFont="1" applyFill="1" applyBorder="1"/>
    <xf numFmtId="168" fontId="17" fillId="0" borderId="0" xfId="13" applyNumberFormat="1" applyFont="1" applyFill="1" applyBorder="1"/>
    <xf numFmtId="0" fontId="29" fillId="0" borderId="0" xfId="0" applyFont="1" applyBorder="1" applyAlignment="1">
      <alignment horizontal="left" vertical="center"/>
    </xf>
    <xf numFmtId="165" fontId="29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1" applyFont="1" applyBorder="1" applyAlignment="1">
      <alignment horizontal="left"/>
    </xf>
    <xf numFmtId="165" fontId="29" fillId="0" borderId="0" xfId="1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165" fontId="29" fillId="0" borderId="0" xfId="1" applyFont="1" applyBorder="1" applyAlignment="1">
      <alignment horizontal="center"/>
    </xf>
    <xf numFmtId="165" fontId="29" fillId="0" borderId="0" xfId="1" applyFont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0" borderId="0" xfId="0" applyFill="1" applyBorder="1" applyAlignment="1"/>
    <xf numFmtId="0" fontId="29" fillId="10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 vertical="top" wrapText="1"/>
    </xf>
    <xf numFmtId="0" fontId="20" fillId="12" borderId="0" xfId="0" applyFont="1" applyFill="1" applyBorder="1" applyAlignment="1">
      <alignment horizontal="center"/>
    </xf>
    <xf numFmtId="165" fontId="17" fillId="12" borderId="0" xfId="0" applyNumberFormat="1" applyFont="1" applyFill="1" applyBorder="1"/>
    <xf numFmtId="49" fontId="11" fillId="0" borderId="1" xfId="14" applyNumberFormat="1" applyFont="1" applyBorder="1" applyAlignment="1">
      <alignment horizontal="center"/>
    </xf>
    <xf numFmtId="165" fontId="0" fillId="0" borderId="0" xfId="1" applyFont="1" applyBorder="1"/>
    <xf numFmtId="168" fontId="20" fillId="12" borderId="0" xfId="0" applyNumberFormat="1" applyFont="1" applyFill="1"/>
    <xf numFmtId="0" fontId="0" fillId="0" borderId="0" xfId="0" applyFont="1"/>
    <xf numFmtId="0" fontId="0" fillId="12" borderId="0" xfId="0" applyFont="1" applyFill="1"/>
    <xf numFmtId="165" fontId="0" fillId="12" borderId="0" xfId="0" applyNumberFormat="1" applyFont="1" applyFill="1"/>
    <xf numFmtId="0" fontId="0" fillId="0" borderId="0" xfId="0" applyFont="1" applyBorder="1"/>
    <xf numFmtId="165" fontId="0" fillId="12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9" fillId="0" borderId="0" xfId="0" applyFont="1" applyFill="1" applyBorder="1" applyAlignment="1">
      <alignment horizontal="left"/>
    </xf>
    <xf numFmtId="0" fontId="35" fillId="4" borderId="0" xfId="0" applyFont="1" applyFill="1" applyBorder="1" applyAlignment="1">
      <alignment horizontal="left"/>
    </xf>
    <xf numFmtId="168" fontId="20" fillId="4" borderId="0" xfId="0" applyNumberFormat="1" applyFont="1" applyFill="1"/>
    <xf numFmtId="0" fontId="0" fillId="12" borderId="0" xfId="0" applyFill="1"/>
    <xf numFmtId="168" fontId="0" fillId="12" borderId="0" xfId="0" applyNumberFormat="1" applyFill="1" applyBorder="1"/>
    <xf numFmtId="168" fontId="0" fillId="0" borderId="0" xfId="13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169" fontId="11" fillId="0" borderId="1" xfId="1" applyNumberFormat="1" applyFont="1" applyFill="1" applyBorder="1" applyAlignment="1"/>
    <xf numFmtId="15" fontId="0" fillId="0" borderId="1" xfId="0" applyNumberFormat="1" applyFill="1" applyBorder="1" applyAlignment="1">
      <alignment vertical="center"/>
    </xf>
    <xf numFmtId="15" fontId="0" fillId="0" borderId="1" xfId="0" applyNumberFormat="1" applyFont="1" applyFill="1" applyBorder="1" applyAlignment="1">
      <alignment vertical="center"/>
    </xf>
    <xf numFmtId="0" fontId="12" fillId="3" borderId="0" xfId="0" applyFont="1" applyFill="1" applyBorder="1"/>
    <xf numFmtId="0" fontId="2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Fill="1" applyBorder="1"/>
    <xf numFmtId="15" fontId="0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/>
    <xf numFmtId="0" fontId="17" fillId="0" borderId="7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center" vertical="center"/>
    </xf>
    <xf numFmtId="165" fontId="17" fillId="0" borderId="1" xfId="0" applyNumberFormat="1" applyFont="1" applyFill="1" applyBorder="1"/>
    <xf numFmtId="49" fontId="0" fillId="0" borderId="1" xfId="0" applyNumberFormat="1" applyBorder="1" applyAlignment="1">
      <alignment horizontal="center" vertical="center"/>
    </xf>
    <xf numFmtId="15" fontId="17" fillId="0" borderId="1" xfId="0" applyNumberFormat="1" applyFont="1" applyFill="1" applyBorder="1" applyAlignment="1">
      <alignment vertical="center"/>
    </xf>
    <xf numFmtId="49" fontId="18" fillId="0" borderId="1" xfId="14" applyNumberFormat="1" applyFont="1" applyFill="1" applyBorder="1"/>
    <xf numFmtId="0" fontId="0" fillId="0" borderId="1" xfId="0" applyFont="1" applyBorder="1" applyAlignment="1"/>
    <xf numFmtId="41" fontId="0" fillId="0" borderId="1" xfId="2" applyFont="1" applyBorder="1" applyAlignment="1">
      <alignment horizontal="left" vertical="center" wrapText="1"/>
    </xf>
    <xf numFmtId="0" fontId="17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5" fontId="0" fillId="0" borderId="0" xfId="1" applyFont="1" applyFill="1" applyBorder="1" applyAlignment="1">
      <alignment vertical="center"/>
    </xf>
    <xf numFmtId="0" fontId="0" fillId="0" borderId="14" xfId="0" applyFont="1" applyBorder="1"/>
    <xf numFmtId="165" fontId="12" fillId="12" borderId="13" xfId="0" applyNumberFormat="1" applyFont="1" applyFill="1" applyBorder="1"/>
    <xf numFmtId="168" fontId="12" fillId="0" borderId="13" xfId="13" applyNumberFormat="1" applyFont="1" applyBorder="1"/>
    <xf numFmtId="41" fontId="4" fillId="0" borderId="15" xfId="1" applyNumberFormat="1" applyFont="1" applyBorder="1" applyAlignment="1">
      <alignment vertical="center"/>
    </xf>
    <xf numFmtId="168" fontId="12" fillId="0" borderId="0" xfId="13" applyNumberFormat="1" applyFont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11" xfId="0" applyFont="1" applyBorder="1"/>
    <xf numFmtId="165" fontId="12" fillId="12" borderId="11" xfId="0" applyNumberFormat="1" applyFont="1" applyFill="1" applyBorder="1"/>
    <xf numFmtId="168" fontId="12" fillId="0" borderId="11" xfId="13" applyNumberFormat="1" applyFont="1" applyBorder="1"/>
    <xf numFmtId="0" fontId="12" fillId="0" borderId="13" xfId="0" applyFont="1" applyBorder="1"/>
    <xf numFmtId="0" fontId="0" fillId="0" borderId="0" xfId="0" applyBorder="1" applyAlignment="1">
      <alignment horizontal="center" vertical="center"/>
    </xf>
    <xf numFmtId="165" fontId="12" fillId="0" borderId="1" xfId="1" applyFont="1" applyBorder="1" applyAlignment="1">
      <alignment horizontal="center" vertical="center"/>
    </xf>
    <xf numFmtId="0" fontId="0" fillId="0" borderId="1" xfId="0" applyBorder="1"/>
    <xf numFmtId="165" fontId="11" fillId="0" borderId="6" xfId="1" applyFont="1" applyFill="1" applyBorder="1"/>
    <xf numFmtId="0" fontId="11" fillId="0" borderId="1" xfId="0" applyFont="1" applyBorder="1" applyAlignment="1"/>
    <xf numFmtId="0" fontId="37" fillId="0" borderId="1" xfId="0" applyFont="1" applyBorder="1" applyAlignment="1">
      <alignment wrapText="1"/>
    </xf>
    <xf numFmtId="49" fontId="23" fillId="0" borderId="1" xfId="0" quotePrefix="1" applyNumberFormat="1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17" fillId="0" borderId="7" xfId="0" applyFont="1" applyBorder="1"/>
    <xf numFmtId="0" fontId="17" fillId="0" borderId="7" xfId="0" applyFont="1" applyFill="1" applyBorder="1"/>
    <xf numFmtId="0" fontId="20" fillId="0" borderId="0" xfId="0" applyFont="1" applyFill="1"/>
    <xf numFmtId="165" fontId="21" fillId="0" borderId="1" xfId="1" applyFont="1" applyFill="1" applyBorder="1"/>
    <xf numFmtId="41" fontId="21" fillId="0" borderId="9" xfId="1" applyNumberFormat="1" applyFont="1" applyBorder="1"/>
    <xf numFmtId="41" fontId="38" fillId="0" borderId="9" xfId="1" applyNumberFormat="1" applyFont="1" applyBorder="1"/>
    <xf numFmtId="165" fontId="11" fillId="0" borderId="1" xfId="1" applyFont="1" applyBorder="1" applyAlignment="1">
      <alignment wrapText="1"/>
    </xf>
    <xf numFmtId="165" fontId="17" fillId="0" borderId="0" xfId="1" applyFont="1" applyBorder="1"/>
    <xf numFmtId="165" fontId="21" fillId="0" borderId="0" xfId="0" applyNumberFormat="1" applyFont="1"/>
    <xf numFmtId="165" fontId="21" fillId="0" borderId="1" xfId="1" applyFont="1" applyBorder="1"/>
    <xf numFmtId="165" fontId="21" fillId="0" borderId="1" xfId="0" applyNumberFormat="1" applyFont="1" applyBorder="1"/>
    <xf numFmtId="165" fontId="12" fillId="0" borderId="0" xfId="1" applyFont="1" applyBorder="1" applyAlignment="1">
      <alignment vertical="center"/>
    </xf>
    <xf numFmtId="0" fontId="12" fillId="0" borderId="4" xfId="0" applyFont="1" applyFill="1" applyBorder="1" applyAlignment="1"/>
    <xf numFmtId="49" fontId="11" fillId="0" borderId="1" xfId="14" applyNumberFormat="1" applyFont="1" applyFill="1" applyBorder="1"/>
    <xf numFmtId="165" fontId="11" fillId="0" borderId="1" xfId="14" applyNumberFormat="1" applyFont="1" applyFill="1" applyBorder="1"/>
    <xf numFmtId="0" fontId="12" fillId="0" borderId="4" xfId="0" applyFont="1" applyFill="1" applyBorder="1" applyAlignment="1">
      <alignment wrapText="1"/>
    </xf>
    <xf numFmtId="15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5" fontId="17" fillId="0" borderId="0" xfId="1" applyFont="1" applyFill="1" applyBorder="1" applyAlignment="1">
      <alignment vertical="center"/>
    </xf>
    <xf numFmtId="0" fontId="12" fillId="0" borderId="0" xfId="0" applyFont="1" applyBorder="1" applyAlignment="1">
      <alignment wrapText="1"/>
    </xf>
    <xf numFmtId="165" fontId="20" fillId="0" borderId="0" xfId="1" applyFont="1" applyFill="1" applyBorder="1" applyAlignment="1">
      <alignment vertical="center"/>
    </xf>
    <xf numFmtId="0" fontId="12" fillId="4" borderId="0" xfId="0" applyFont="1" applyFill="1"/>
    <xf numFmtId="165" fontId="12" fillId="4" borderId="0" xfId="0" applyNumberFormat="1" applyFont="1" applyFill="1"/>
    <xf numFmtId="0" fontId="12" fillId="4" borderId="0" xfId="0" applyFont="1" applyFill="1" applyBorder="1" applyAlignment="1"/>
    <xf numFmtId="165" fontId="12" fillId="4" borderId="0" xfId="1" applyFont="1" applyFill="1" applyBorder="1" applyAlignment="1">
      <alignment vertical="center"/>
    </xf>
    <xf numFmtId="165" fontId="12" fillId="0" borderId="1" xfId="1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16" fontId="17" fillId="0" borderId="1" xfId="1" applyNumberFormat="1" applyFont="1" applyFill="1" applyBorder="1" applyAlignment="1">
      <alignment horizontal="center" vertical="center"/>
    </xf>
    <xf numFmtId="165" fontId="15" fillId="0" borderId="10" xfId="1" applyFont="1" applyFill="1" applyBorder="1" applyAlignment="1">
      <alignment horizontal="center" vertical="center"/>
    </xf>
    <xf numFmtId="0" fontId="12" fillId="0" borderId="0" xfId="0" applyFont="1" applyBorder="1"/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/>
    <xf numFmtId="41" fontId="17" fillId="0" borderId="0" xfId="0" applyNumberFormat="1" applyFont="1" applyAlignment="1">
      <alignment horizontal="center"/>
    </xf>
    <xf numFmtId="168" fontId="17" fillId="0" borderId="0" xfId="13" applyNumberFormat="1" applyFont="1" applyFill="1" applyBorder="1" applyAlignment="1">
      <alignment horizontal="center" vertical="center"/>
    </xf>
    <xf numFmtId="168" fontId="17" fillId="0" borderId="0" xfId="13" applyNumberFormat="1" applyFont="1" applyFill="1" applyAlignment="1">
      <alignment horizontal="center" vertical="center"/>
    </xf>
    <xf numFmtId="168" fontId="17" fillId="0" borderId="0" xfId="13" applyNumberFormat="1" applyFont="1" applyFill="1" applyAlignment="1">
      <alignment vertical="center" wrapText="1"/>
    </xf>
    <xf numFmtId="168" fontId="17" fillId="0" borderId="0" xfId="13" applyNumberFormat="1" applyFont="1" applyFill="1" applyAlignment="1">
      <alignment vertical="center"/>
    </xf>
    <xf numFmtId="41" fontId="0" fillId="0" borderId="1" xfId="0" applyNumberFormat="1" applyFont="1" applyBorder="1" applyAlignment="1">
      <alignment wrapText="1"/>
    </xf>
    <xf numFmtId="0" fontId="0" fillId="0" borderId="0" xfId="0" applyAlignment="1">
      <alignment horizontal="center" vertical="center"/>
    </xf>
    <xf numFmtId="165" fontId="12" fillId="12" borderId="14" xfId="0" applyNumberFormat="1" applyFont="1" applyFill="1" applyBorder="1"/>
    <xf numFmtId="168" fontId="12" fillId="0" borderId="14" xfId="13" applyNumberFormat="1" applyFont="1" applyBorder="1"/>
    <xf numFmtId="0" fontId="29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9" fillId="0" borderId="0" xfId="0" applyFont="1" applyFill="1" applyBorder="1" applyAlignment="1">
      <alignment horizontal="center" vertical="top"/>
    </xf>
    <xf numFmtId="0" fontId="13" fillId="0" borderId="0" xfId="0" applyFont="1"/>
    <xf numFmtId="41" fontId="2" fillId="0" borderId="1" xfId="1" applyNumberFormat="1" applyFont="1" applyBorder="1" applyAlignment="1">
      <alignment vertical="center"/>
    </xf>
    <xf numFmtId="165" fontId="29" fillId="0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65" fontId="17" fillId="13" borderId="0" xfId="0" applyNumberFormat="1" applyFont="1" applyFill="1" applyBorder="1"/>
    <xf numFmtId="165" fontId="17" fillId="8" borderId="0" xfId="0" applyNumberFormat="1" applyFont="1" applyFill="1" applyBorder="1"/>
    <xf numFmtId="168" fontId="12" fillId="12" borderId="0" xfId="13" applyNumberFormat="1" applyFont="1" applyFill="1" applyBorder="1"/>
    <xf numFmtId="165" fontId="11" fillId="0" borderId="1" xfId="15" applyNumberFormat="1" applyFont="1" applyFill="1" applyBorder="1" applyAlignment="1">
      <alignment vertical="center"/>
    </xf>
    <xf numFmtId="16" fontId="23" fillId="0" borderId="1" xfId="0" applyNumberFormat="1" applyFont="1" applyFill="1" applyBorder="1" applyAlignment="1">
      <alignment horizontal="center" vertical="center"/>
    </xf>
    <xf numFmtId="165" fontId="17" fillId="0" borderId="1" xfId="1" applyFont="1" applyBorder="1" applyAlignment="1">
      <alignment horizontal="center" vertical="center"/>
    </xf>
    <xf numFmtId="49" fontId="18" fillId="2" borderId="3" xfId="14" applyNumberFormat="1" applyFont="1" applyFill="1" applyBorder="1"/>
    <xf numFmtId="49" fontId="18" fillId="2" borderId="3" xfId="14" applyNumberFormat="1" applyFont="1" applyFill="1" applyBorder="1" applyAlignment="1">
      <alignment horizontal="center"/>
    </xf>
    <xf numFmtId="165" fontId="18" fillId="2" borderId="3" xfId="1" applyFont="1" applyFill="1" applyBorder="1" applyAlignment="1">
      <alignment horizontal="center"/>
    </xf>
    <xf numFmtId="165" fontId="0" fillId="0" borderId="1" xfId="1" applyFont="1" applyBorder="1" applyAlignment="1">
      <alignment horizontal="center" vertical="center"/>
    </xf>
    <xf numFmtId="165" fontId="17" fillId="0" borderId="9" xfId="1" applyFont="1" applyBorder="1"/>
    <xf numFmtId="165" fontId="17" fillId="0" borderId="9" xfId="1" applyFont="1" applyFill="1" applyBorder="1"/>
    <xf numFmtId="0" fontId="17" fillId="0" borderId="9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11" fillId="0" borderId="1" xfId="17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17" fillId="0" borderId="10" xfId="0" quotePrefix="1" applyNumberFormat="1" applyFont="1" applyBorder="1" applyAlignment="1">
      <alignment horizontal="center" vertical="center"/>
    </xf>
    <xf numFmtId="165" fontId="21" fillId="0" borderId="1" xfId="0" applyNumberFormat="1" applyFont="1" applyFill="1" applyBorder="1"/>
    <xf numFmtId="0" fontId="17" fillId="0" borderId="1" xfId="0" applyFont="1" applyFill="1" applyBorder="1" applyAlignment="1">
      <alignment horizontal="center"/>
    </xf>
    <xf numFmtId="0" fontId="20" fillId="0" borderId="1" xfId="0" quotePrefix="1" applyFont="1" applyFill="1" applyBorder="1" applyAlignment="1">
      <alignment horizontal="center"/>
    </xf>
    <xf numFmtId="165" fontId="17" fillId="0" borderId="3" xfId="1" applyFont="1" applyBorder="1"/>
    <xf numFmtId="165" fontId="21" fillId="0" borderId="3" xfId="1" applyFont="1" applyFill="1" applyBorder="1"/>
    <xf numFmtId="0" fontId="17" fillId="0" borderId="3" xfId="0" applyFont="1" applyBorder="1"/>
    <xf numFmtId="165" fontId="0" fillId="4" borderId="1" xfId="1" applyFont="1" applyFill="1" applyBorder="1" applyAlignment="1"/>
    <xf numFmtId="165" fontId="20" fillId="0" borderId="1" xfId="1" applyFont="1" applyFill="1" applyBorder="1" applyAlignment="1">
      <alignment vertical="center"/>
    </xf>
    <xf numFmtId="41" fontId="0" fillId="4" borderId="1" xfId="1" applyNumberFormat="1" applyFont="1" applyFill="1" applyBorder="1"/>
    <xf numFmtId="165" fontId="17" fillId="0" borderId="0" xfId="0" applyNumberFormat="1" applyFont="1" applyAlignment="1">
      <alignment horizontal="center"/>
    </xf>
    <xf numFmtId="41" fontId="17" fillId="0" borderId="0" xfId="0" applyNumberFormat="1" applyFont="1"/>
    <xf numFmtId="41" fontId="17" fillId="4" borderId="1" xfId="1" applyNumberFormat="1" applyFont="1" applyFill="1" applyBorder="1"/>
    <xf numFmtId="165" fontId="17" fillId="4" borderId="0" xfId="1" applyFont="1" applyFill="1"/>
    <xf numFmtId="49" fontId="0" fillId="0" borderId="1" xfId="14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5" fontId="0" fillId="0" borderId="10" xfId="1" applyFont="1" applyFill="1" applyBorder="1" applyAlignment="1">
      <alignment horizontal="center"/>
    </xf>
    <xf numFmtId="165" fontId="0" fillId="0" borderId="7" xfId="1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41" fontId="12" fillId="0" borderId="9" xfId="2" applyFont="1" applyBorder="1" applyAlignment="1">
      <alignment horizontal="center" vertical="center" wrapText="1"/>
    </xf>
    <xf numFmtId="41" fontId="12" fillId="0" borderId="4" xfId="2" applyFont="1" applyBorder="1" applyAlignment="1">
      <alignment horizontal="center" vertical="center" wrapText="1"/>
    </xf>
    <xf numFmtId="41" fontId="12" fillId="0" borderId="3" xfId="2" applyFont="1" applyBorder="1" applyAlignment="1">
      <alignment horizontal="center" vertical="center" wrapText="1"/>
    </xf>
    <xf numFmtId="41" fontId="12" fillId="0" borderId="9" xfId="2" applyFont="1" applyBorder="1" applyAlignment="1">
      <alignment horizontal="center" vertical="center"/>
    </xf>
    <xf numFmtId="41" fontId="12" fillId="0" borderId="4" xfId="2" applyFont="1" applyBorder="1" applyAlignment="1">
      <alignment horizontal="center" vertical="center"/>
    </xf>
    <xf numFmtId="41" fontId="12" fillId="0" borderId="3" xfId="2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/>
    </xf>
    <xf numFmtId="165" fontId="12" fillId="0" borderId="1" xfId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4" borderId="10" xfId="1" applyFont="1" applyFill="1" applyBorder="1" applyAlignment="1">
      <alignment horizontal="center"/>
    </xf>
    <xf numFmtId="165" fontId="0" fillId="4" borderId="7" xfId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165" fontId="17" fillId="0" borderId="10" xfId="1" applyFont="1" applyFill="1" applyBorder="1" applyAlignment="1">
      <alignment horizontal="center"/>
    </xf>
    <xf numFmtId="165" fontId="17" fillId="0" borderId="7" xfId="1" applyFont="1" applyFill="1" applyBorder="1" applyAlignment="1">
      <alignment horizontal="center"/>
    </xf>
    <xf numFmtId="165" fontId="20" fillId="4" borderId="10" xfId="1" applyFont="1" applyFill="1" applyBorder="1" applyAlignment="1">
      <alignment horizontal="center"/>
    </xf>
    <xf numFmtId="165" fontId="20" fillId="4" borderId="7" xfId="1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17" fillId="4" borderId="10" xfId="1" applyFont="1" applyFill="1" applyBorder="1" applyAlignment="1">
      <alignment horizontal="center"/>
    </xf>
    <xf numFmtId="165" fontId="17" fillId="4" borderId="6" xfId="1" applyFont="1" applyFill="1" applyBorder="1" applyAlignment="1">
      <alignment horizontal="center"/>
    </xf>
    <xf numFmtId="165" fontId="17" fillId="4" borderId="7" xfId="1" applyFont="1" applyFill="1" applyBorder="1" applyAlignment="1">
      <alignment horizontal="center"/>
    </xf>
    <xf numFmtId="165" fontId="20" fillId="0" borderId="10" xfId="1" applyFont="1" applyBorder="1" applyAlignment="1">
      <alignment horizontal="center"/>
    </xf>
    <xf numFmtId="165" fontId="20" fillId="0" borderId="6" xfId="1" applyFont="1" applyBorder="1" applyAlignment="1">
      <alignment horizontal="center"/>
    </xf>
    <xf numFmtId="165" fontId="20" fillId="0" borderId="7" xfId="1" applyFont="1" applyBorder="1" applyAlignment="1">
      <alignment horizontal="center"/>
    </xf>
    <xf numFmtId="165" fontId="17" fillId="4" borderId="10" xfId="1" applyFont="1" applyFill="1" applyBorder="1" applyAlignment="1">
      <alignment horizontal="center" vertical="center"/>
    </xf>
    <xf numFmtId="165" fontId="17" fillId="4" borderId="6" xfId="1" applyFont="1" applyFill="1" applyBorder="1" applyAlignment="1">
      <alignment horizontal="center" vertical="center"/>
    </xf>
    <xf numFmtId="165" fontId="17" fillId="4" borderId="7" xfId="1" applyFont="1" applyFill="1" applyBorder="1" applyAlignment="1">
      <alignment horizontal="center" vertical="center"/>
    </xf>
    <xf numFmtId="165" fontId="12" fillId="0" borderId="1" xfId="1" applyFont="1" applyBorder="1" applyAlignment="1">
      <alignment horizontal="center" vertical="center" wrapText="1"/>
    </xf>
    <xf numFmtId="165" fontId="12" fillId="0" borderId="9" xfId="1" applyFont="1" applyBorder="1" applyAlignment="1">
      <alignment horizontal="center" vertical="center"/>
    </xf>
    <xf numFmtId="165" fontId="12" fillId="0" borderId="3" xfId="1" applyFont="1" applyBorder="1" applyAlignment="1">
      <alignment horizontal="center" vertical="center"/>
    </xf>
    <xf numFmtId="165" fontId="20" fillId="0" borderId="10" xfId="1" applyFont="1" applyBorder="1" applyAlignment="1">
      <alignment horizontal="center" vertical="center"/>
    </xf>
    <xf numFmtId="165" fontId="20" fillId="0" borderId="7" xfId="1" applyFont="1" applyBorder="1" applyAlignment="1">
      <alignment horizontal="center" vertical="center"/>
    </xf>
    <xf numFmtId="165" fontId="20" fillId="0" borderId="6" xfId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168" fontId="17" fillId="0" borderId="0" xfId="1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 wrapText="1"/>
    </xf>
    <xf numFmtId="168" fontId="0" fillId="0" borderId="0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8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11" xfId="17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8 2 2" xfId="16"/>
    <cellStyle name="Normal 9" xfId="11"/>
    <cellStyle name="Percent" xfId="1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Lap%20FO%20JANUARI%20SGH_2024%20ACCOUN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Lap%20FO%20MARET%20SGH_2024%20AC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2"/>
      <sheetName val="Bank"/>
      <sheetName val="OTA"/>
      <sheetName val="Kuitansi"/>
      <sheetName val="Jurnal"/>
      <sheetName val="Jur2"/>
      <sheetName val="LR"/>
      <sheetName val="Neraca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J95">
            <v>60310000</v>
          </cell>
        </row>
      </sheetData>
      <sheetData sheetId="8"/>
      <sheetData sheetId="9">
        <row r="163">
          <cell r="F163">
            <v>4600000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"/>
      <sheetName val="Bank"/>
      <sheetName val="OTA"/>
      <sheetName val="Kuitansi"/>
      <sheetName val="Jur-kum"/>
      <sheetName val="Jur2"/>
      <sheetName val="LR"/>
      <sheetName val="Neraca"/>
      <sheetName val="Laba Rugi"/>
    </sheetNames>
    <sheetDataSet>
      <sheetData sheetId="0"/>
      <sheetData sheetId="1">
        <row r="338">
          <cell r="M338">
            <v>-100000</v>
          </cell>
          <cell r="N338">
            <v>-432000</v>
          </cell>
          <cell r="O338">
            <v>-8789670</v>
          </cell>
          <cell r="P338">
            <v>-938090</v>
          </cell>
          <cell r="Q338">
            <v>-2500000</v>
          </cell>
          <cell r="R338">
            <v>-1014267</v>
          </cell>
          <cell r="Y338">
            <v>-900000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8"/>
  <sheetViews>
    <sheetView zoomScale="89" zoomScaleNormal="89" workbookViewId="0">
      <pane ySplit="1" topLeftCell="A587" activePane="bottomLeft" state="frozen"/>
      <selection activeCell="B1" sqref="B1"/>
      <selection pane="bottomLeft" activeCell="H604" sqref="H604"/>
    </sheetView>
  </sheetViews>
  <sheetFormatPr defaultRowHeight="15"/>
  <cols>
    <col min="1" max="1" width="12.140625" customWidth="1"/>
    <col min="2" max="2" width="62" bestFit="1" customWidth="1"/>
    <col min="3" max="3" width="13.7109375" style="61" customWidth="1"/>
    <col min="4" max="4" width="15.7109375" style="61" customWidth="1"/>
    <col min="5" max="5" width="12.5703125" bestFit="1" customWidth="1"/>
    <col min="6" max="6" width="14.85546875" style="58" customWidth="1"/>
    <col min="7" max="7" width="13.5703125" style="61" customWidth="1"/>
    <col min="8" max="8" width="14.7109375" style="61" customWidth="1"/>
    <col min="9" max="9" width="14.42578125" style="61" customWidth="1"/>
    <col min="10" max="10" width="15.42578125" style="61" customWidth="1"/>
    <col min="11" max="11" width="14.42578125" style="61" customWidth="1"/>
    <col min="12" max="12" width="18.28515625" customWidth="1"/>
    <col min="14" max="14" width="12.5703125" bestFit="1" customWidth="1"/>
  </cols>
  <sheetData>
    <row r="1" spans="1:23" s="107" customFormat="1" ht="15" customHeight="1">
      <c r="A1" s="88"/>
      <c r="B1" s="24" t="s">
        <v>692</v>
      </c>
      <c r="C1" s="41" t="s">
        <v>115</v>
      </c>
      <c r="D1" s="41">
        <v>34082261</v>
      </c>
      <c r="E1" s="41" t="s">
        <v>114</v>
      </c>
      <c r="F1" s="104" t="s">
        <v>157</v>
      </c>
      <c r="G1" s="41" t="s">
        <v>0</v>
      </c>
      <c r="H1" s="41" t="s">
        <v>1</v>
      </c>
      <c r="I1" s="41" t="s">
        <v>2</v>
      </c>
      <c r="J1" s="41" t="s">
        <v>158</v>
      </c>
      <c r="K1" s="41" t="s">
        <v>3</v>
      </c>
      <c r="L1" s="105"/>
      <c r="M1" s="105"/>
      <c r="N1" s="105"/>
      <c r="O1" s="105"/>
      <c r="P1" s="105"/>
      <c r="Q1" s="105"/>
      <c r="R1" s="106"/>
      <c r="S1" s="106"/>
      <c r="T1" s="105"/>
      <c r="U1" s="105"/>
      <c r="V1" s="105"/>
      <c r="W1" s="105"/>
    </row>
    <row r="2" spans="1:23" s="5" customFormat="1" ht="15" customHeight="1">
      <c r="A2" s="353">
        <v>45413</v>
      </c>
      <c r="B2" s="72" t="s">
        <v>577</v>
      </c>
      <c r="C2" s="59">
        <v>-11000</v>
      </c>
      <c r="D2" s="51">
        <f t="shared" ref="D2:D65" si="0">SUM(D1,C2)</f>
        <v>34071261</v>
      </c>
      <c r="E2" s="36" t="s">
        <v>578</v>
      </c>
      <c r="F2" s="62"/>
      <c r="G2" s="59"/>
      <c r="H2" s="59"/>
      <c r="I2" s="59"/>
      <c r="J2" s="59"/>
      <c r="K2" s="59">
        <f t="shared" ref="K2:K52" si="1">C2</f>
        <v>-11000</v>
      </c>
      <c r="L2" s="2">
        <f>C2-F2-G2-H2-I2-J2-K2</f>
        <v>0</v>
      </c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>
      <c r="B3" s="72" t="s">
        <v>590</v>
      </c>
      <c r="C3" s="59">
        <v>-83100</v>
      </c>
      <c r="D3" s="51">
        <f t="shared" si="0"/>
        <v>33988161</v>
      </c>
      <c r="E3" s="36" t="s">
        <v>578</v>
      </c>
      <c r="F3" s="62"/>
      <c r="G3" s="59"/>
      <c r="H3" s="59"/>
      <c r="I3" s="59"/>
      <c r="J3" s="59"/>
      <c r="K3" s="59">
        <f t="shared" si="1"/>
        <v>-83100</v>
      </c>
      <c r="L3" s="2">
        <f t="shared" ref="L3:L66" si="2">C3-F3-G3-H3-I3-J3-K3</f>
        <v>0</v>
      </c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>
      <c r="A4" s="354"/>
      <c r="B4" s="72" t="s">
        <v>868</v>
      </c>
      <c r="C4" s="59">
        <v>-3300000</v>
      </c>
      <c r="D4" s="51">
        <f t="shared" si="0"/>
        <v>30688161</v>
      </c>
      <c r="E4" s="36" t="s">
        <v>578</v>
      </c>
      <c r="F4" s="62"/>
      <c r="G4" s="59"/>
      <c r="H4" s="59"/>
      <c r="I4" s="59"/>
      <c r="J4" s="59"/>
      <c r="K4" s="59">
        <f t="shared" si="1"/>
        <v>-3300000</v>
      </c>
      <c r="L4" s="2">
        <f t="shared" si="2"/>
        <v>0</v>
      </c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>
      <c r="A5" s="91"/>
      <c r="B5" s="72" t="s">
        <v>591</v>
      </c>
      <c r="C5" s="59">
        <v>-2434000</v>
      </c>
      <c r="D5" s="51">
        <f t="shared" si="0"/>
        <v>28254161</v>
      </c>
      <c r="E5" s="36" t="s">
        <v>578</v>
      </c>
      <c r="F5" s="62"/>
      <c r="G5" s="59"/>
      <c r="H5" s="59"/>
      <c r="I5" s="59"/>
      <c r="J5" s="59"/>
      <c r="K5" s="59">
        <f t="shared" si="1"/>
        <v>-2434000</v>
      </c>
      <c r="L5" s="2">
        <f t="shared" si="2"/>
        <v>0</v>
      </c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>
      <c r="B6" s="72" t="s">
        <v>869</v>
      </c>
      <c r="C6" s="59">
        <v>-1112500</v>
      </c>
      <c r="D6" s="51">
        <f t="shared" si="0"/>
        <v>27141661</v>
      </c>
      <c r="E6" s="36" t="s">
        <v>578</v>
      </c>
      <c r="F6" s="62"/>
      <c r="G6" s="59"/>
      <c r="H6" s="59"/>
      <c r="I6" s="59"/>
      <c r="J6" s="59"/>
      <c r="K6" s="59">
        <f t="shared" si="1"/>
        <v>-1112500</v>
      </c>
      <c r="L6" s="2">
        <f t="shared" si="2"/>
        <v>0</v>
      </c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>
      <c r="A7" s="352"/>
      <c r="B7" s="72" t="s">
        <v>18</v>
      </c>
      <c r="C7" s="59">
        <v>240000</v>
      </c>
      <c r="D7" s="51">
        <f t="shared" si="0"/>
        <v>27381661</v>
      </c>
      <c r="E7" s="36" t="s">
        <v>1</v>
      </c>
      <c r="F7" s="62"/>
      <c r="G7" s="59"/>
      <c r="H7" s="444">
        <f>C7</f>
        <v>240000</v>
      </c>
      <c r="I7" s="59"/>
      <c r="J7" s="59"/>
      <c r="K7" s="59"/>
      <c r="L7" s="2">
        <f t="shared" si="2"/>
        <v>0</v>
      </c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>
      <c r="A8" s="353"/>
      <c r="B8" s="72" t="s">
        <v>870</v>
      </c>
      <c r="C8" s="59"/>
      <c r="D8" s="51">
        <f t="shared" si="0"/>
        <v>27381661</v>
      </c>
      <c r="E8" s="36" t="s">
        <v>585</v>
      </c>
      <c r="F8" s="62"/>
      <c r="G8" s="59"/>
      <c r="H8" s="59"/>
      <c r="I8" s="59"/>
      <c r="J8" s="59"/>
      <c r="K8" s="59">
        <f t="shared" si="1"/>
        <v>0</v>
      </c>
      <c r="L8" s="2">
        <f t="shared" si="2"/>
        <v>0</v>
      </c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>
      <c r="B9" s="72" t="s">
        <v>871</v>
      </c>
      <c r="C9" s="59">
        <v>-65000</v>
      </c>
      <c r="D9" s="51">
        <f t="shared" si="0"/>
        <v>27316661</v>
      </c>
      <c r="E9" s="36" t="s">
        <v>578</v>
      </c>
      <c r="F9" s="62"/>
      <c r="G9" s="59"/>
      <c r="H9" s="59"/>
      <c r="I9" s="59"/>
      <c r="J9" s="59"/>
      <c r="K9" s="59">
        <f t="shared" si="1"/>
        <v>-65000</v>
      </c>
      <c r="L9" s="2">
        <f t="shared" si="2"/>
        <v>0</v>
      </c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>
      <c r="A10" s="354"/>
      <c r="B10" s="72" t="s">
        <v>872</v>
      </c>
      <c r="C10" s="59">
        <v>1500000</v>
      </c>
      <c r="D10" s="51">
        <f t="shared" si="0"/>
        <v>28816661</v>
      </c>
      <c r="E10" s="36" t="s">
        <v>61</v>
      </c>
      <c r="F10" s="62"/>
      <c r="G10" s="59"/>
      <c r="H10" s="59"/>
      <c r="I10" s="59">
        <f>C10</f>
        <v>1500000</v>
      </c>
      <c r="J10" s="59"/>
      <c r="K10" s="59"/>
      <c r="L10" s="2">
        <f t="shared" si="2"/>
        <v>0</v>
      </c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>
      <c r="A11" s="354"/>
      <c r="B11" s="72" t="s">
        <v>873</v>
      </c>
      <c r="C11" s="59">
        <v>9500000</v>
      </c>
      <c r="D11" s="51">
        <f t="shared" si="0"/>
        <v>38316661</v>
      </c>
      <c r="E11" s="36" t="s">
        <v>585</v>
      </c>
      <c r="F11" s="62">
        <f>C11</f>
        <v>9500000</v>
      </c>
      <c r="G11" s="59"/>
      <c r="H11" s="59"/>
      <c r="I11" s="59"/>
      <c r="J11" s="59"/>
      <c r="K11" s="59"/>
      <c r="L11" s="2">
        <f t="shared" si="2"/>
        <v>0</v>
      </c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>
      <c r="A12" s="353">
        <v>45414</v>
      </c>
      <c r="B12" s="72" t="s">
        <v>577</v>
      </c>
      <c r="C12" s="59">
        <v>-11000</v>
      </c>
      <c r="D12" s="51">
        <f t="shared" si="0"/>
        <v>38305661</v>
      </c>
      <c r="E12" s="36" t="s">
        <v>578</v>
      </c>
      <c r="F12" s="62"/>
      <c r="G12" s="59"/>
      <c r="H12" s="59"/>
      <c r="I12" s="59"/>
      <c r="J12" s="59"/>
      <c r="K12" s="59">
        <f t="shared" si="1"/>
        <v>-11000</v>
      </c>
      <c r="L12" s="2">
        <f t="shared" si="2"/>
        <v>0</v>
      </c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>
      <c r="B13" s="72" t="s">
        <v>874</v>
      </c>
      <c r="C13" s="59">
        <v>3600000</v>
      </c>
      <c r="D13" s="51">
        <f t="shared" si="0"/>
        <v>41905661</v>
      </c>
      <c r="E13" s="36" t="s">
        <v>585</v>
      </c>
      <c r="F13" s="62">
        <f>C13</f>
        <v>3600000</v>
      </c>
      <c r="G13" s="59"/>
      <c r="H13" s="59"/>
      <c r="I13" s="59"/>
      <c r="J13" s="59"/>
      <c r="K13" s="59"/>
      <c r="L13" s="2">
        <f t="shared" si="2"/>
        <v>0</v>
      </c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>
      <c r="A14" s="149"/>
      <c r="B14" s="72" t="s">
        <v>875</v>
      </c>
      <c r="C14" s="59">
        <v>3000000</v>
      </c>
      <c r="D14" s="51">
        <f t="shared" si="0"/>
        <v>44905661</v>
      </c>
      <c r="E14" s="36" t="s">
        <v>61</v>
      </c>
      <c r="F14" s="62"/>
      <c r="G14" s="59"/>
      <c r="H14" s="59"/>
      <c r="I14" s="59">
        <f>C14</f>
        <v>3000000</v>
      </c>
      <c r="J14" s="59"/>
      <c r="K14" s="59"/>
      <c r="L14" s="2">
        <f t="shared" si="2"/>
        <v>0</v>
      </c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>
      <c r="A15" s="354"/>
      <c r="B15" s="72" t="s">
        <v>591</v>
      </c>
      <c r="C15" s="398">
        <v>-3719500</v>
      </c>
      <c r="D15" s="51">
        <f t="shared" si="0"/>
        <v>41186161</v>
      </c>
      <c r="E15" s="36" t="s">
        <v>578</v>
      </c>
      <c r="F15" s="62"/>
      <c r="G15" s="59"/>
      <c r="H15" s="59"/>
      <c r="I15" s="59"/>
      <c r="J15" s="59"/>
      <c r="K15" s="59">
        <f t="shared" si="1"/>
        <v>-3719500</v>
      </c>
      <c r="L15" s="2">
        <f t="shared" si="2"/>
        <v>0</v>
      </c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>
      <c r="B16" s="72" t="s">
        <v>876</v>
      </c>
      <c r="C16" s="59">
        <v>-65000</v>
      </c>
      <c r="D16" s="51">
        <f t="shared" si="0"/>
        <v>41121161</v>
      </c>
      <c r="E16" s="36" t="s">
        <v>578</v>
      </c>
      <c r="F16" s="62"/>
      <c r="G16" s="59"/>
      <c r="H16" s="59"/>
      <c r="I16" s="59"/>
      <c r="J16" s="59"/>
      <c r="K16" s="59">
        <f t="shared" si="1"/>
        <v>-65000</v>
      </c>
      <c r="L16" s="2">
        <f t="shared" si="2"/>
        <v>0</v>
      </c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>
      <c r="A17" s="149"/>
      <c r="B17" s="72" t="s">
        <v>579</v>
      </c>
      <c r="C17" s="59">
        <v>-180000</v>
      </c>
      <c r="D17" s="51">
        <f t="shared" si="0"/>
        <v>40941161</v>
      </c>
      <c r="E17" s="36" t="s">
        <v>578</v>
      </c>
      <c r="F17" s="62"/>
      <c r="G17" s="59"/>
      <c r="H17" s="59"/>
      <c r="I17" s="59"/>
      <c r="J17" s="59"/>
      <c r="K17" s="59">
        <f t="shared" si="1"/>
        <v>-180000</v>
      </c>
      <c r="L17" s="2">
        <f t="shared" si="2"/>
        <v>0</v>
      </c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>
      <c r="A18" s="149"/>
      <c r="B18" s="72" t="s">
        <v>877</v>
      </c>
      <c r="C18" s="59">
        <v>-100000</v>
      </c>
      <c r="D18" s="51">
        <f t="shared" si="0"/>
        <v>40841161</v>
      </c>
      <c r="E18" s="36" t="s">
        <v>578</v>
      </c>
      <c r="F18" s="62"/>
      <c r="G18" s="59"/>
      <c r="H18" s="59"/>
      <c r="I18" s="59"/>
      <c r="J18" s="59"/>
      <c r="K18" s="59">
        <f t="shared" si="1"/>
        <v>-100000</v>
      </c>
      <c r="L18" s="2">
        <f t="shared" si="2"/>
        <v>0</v>
      </c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>
      <c r="A19" s="91"/>
      <c r="B19" s="72" t="s">
        <v>589</v>
      </c>
      <c r="C19" s="59">
        <v>-276000</v>
      </c>
      <c r="D19" s="51">
        <f t="shared" si="0"/>
        <v>40565161</v>
      </c>
      <c r="E19" s="36" t="s">
        <v>578</v>
      </c>
      <c r="F19" s="62"/>
      <c r="G19" s="59"/>
      <c r="H19" s="59"/>
      <c r="I19" s="59"/>
      <c r="J19" s="59"/>
      <c r="K19" s="59">
        <f t="shared" si="1"/>
        <v>-276000</v>
      </c>
      <c r="L19" s="2">
        <f t="shared" si="2"/>
        <v>0</v>
      </c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>
      <c r="B20" s="72" t="s">
        <v>878</v>
      </c>
      <c r="C20" s="59"/>
      <c r="D20" s="51">
        <f t="shared" si="0"/>
        <v>40565161</v>
      </c>
      <c r="E20" s="36" t="s">
        <v>61</v>
      </c>
      <c r="F20" s="62"/>
      <c r="G20" s="59"/>
      <c r="H20" s="59"/>
      <c r="I20" s="59"/>
      <c r="J20" s="59"/>
      <c r="K20" s="59">
        <f t="shared" si="1"/>
        <v>0</v>
      </c>
      <c r="L20" s="2">
        <f t="shared" si="2"/>
        <v>0</v>
      </c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>
      <c r="A21" s="354"/>
      <c r="B21" s="72" t="s">
        <v>589</v>
      </c>
      <c r="C21" s="59">
        <v>-409500</v>
      </c>
      <c r="D21" s="51">
        <f t="shared" si="0"/>
        <v>40155661</v>
      </c>
      <c r="E21" s="36" t="s">
        <v>578</v>
      </c>
      <c r="F21" s="62"/>
      <c r="G21" s="59"/>
      <c r="H21" s="59"/>
      <c r="I21" s="59"/>
      <c r="J21" s="59"/>
      <c r="K21" s="59">
        <f t="shared" si="1"/>
        <v>-409500</v>
      </c>
      <c r="L21" s="2">
        <f t="shared" si="2"/>
        <v>0</v>
      </c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>
      <c r="B22" s="72" t="s">
        <v>879</v>
      </c>
      <c r="C22" s="59">
        <v>-315500</v>
      </c>
      <c r="D22" s="51">
        <f t="shared" si="0"/>
        <v>39840161</v>
      </c>
      <c r="E22" s="36" t="s">
        <v>578</v>
      </c>
      <c r="F22" s="62"/>
      <c r="G22" s="59"/>
      <c r="H22" s="59"/>
      <c r="I22" s="59"/>
      <c r="J22" s="59"/>
      <c r="K22" s="59">
        <f t="shared" si="1"/>
        <v>-315500</v>
      </c>
      <c r="L22" s="2">
        <f t="shared" si="2"/>
        <v>0</v>
      </c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>
      <c r="A23" s="149"/>
      <c r="B23" s="72" t="s">
        <v>880</v>
      </c>
      <c r="C23" s="59"/>
      <c r="D23" s="51">
        <f t="shared" si="0"/>
        <v>39840161</v>
      </c>
      <c r="E23" s="36" t="s">
        <v>61</v>
      </c>
      <c r="F23" s="62"/>
      <c r="G23" s="59"/>
      <c r="H23" s="59"/>
      <c r="I23" s="59"/>
      <c r="J23" s="59"/>
      <c r="K23" s="59">
        <f t="shared" si="1"/>
        <v>0</v>
      </c>
      <c r="L23" s="2">
        <f t="shared" si="2"/>
        <v>0</v>
      </c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>
      <c r="A24" s="149"/>
      <c r="B24" s="72" t="s">
        <v>881</v>
      </c>
      <c r="C24" s="59">
        <v>-73500</v>
      </c>
      <c r="D24" s="51">
        <f t="shared" si="0"/>
        <v>39766661</v>
      </c>
      <c r="E24" s="36" t="s">
        <v>578</v>
      </c>
      <c r="F24" s="62"/>
      <c r="G24" s="59"/>
      <c r="H24" s="59"/>
      <c r="I24" s="59"/>
      <c r="J24" s="59"/>
      <c r="K24" s="59">
        <f t="shared" si="1"/>
        <v>-73500</v>
      </c>
      <c r="L24" s="2">
        <f t="shared" si="2"/>
        <v>0</v>
      </c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>
      <c r="A25" s="149"/>
      <c r="B25" s="72" t="s">
        <v>879</v>
      </c>
      <c r="C25" s="59">
        <v>-34000</v>
      </c>
      <c r="D25" s="51">
        <f t="shared" si="0"/>
        <v>39732661</v>
      </c>
      <c r="E25" s="36" t="s">
        <v>578</v>
      </c>
      <c r="F25" s="62"/>
      <c r="G25" s="59"/>
      <c r="H25" s="59"/>
      <c r="I25" s="59"/>
      <c r="J25" s="59"/>
      <c r="K25" s="59">
        <f t="shared" si="1"/>
        <v>-34000</v>
      </c>
      <c r="L25" s="2">
        <f t="shared" si="2"/>
        <v>0</v>
      </c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>
      <c r="A26" s="354"/>
      <c r="B26" s="72" t="s">
        <v>18</v>
      </c>
      <c r="C26" s="59">
        <v>50000</v>
      </c>
      <c r="D26" s="51">
        <f t="shared" si="0"/>
        <v>39782661</v>
      </c>
      <c r="E26" s="36" t="s">
        <v>1</v>
      </c>
      <c r="F26" s="62"/>
      <c r="G26" s="59"/>
      <c r="H26" s="59">
        <f>C26</f>
        <v>50000</v>
      </c>
      <c r="I26" s="59"/>
      <c r="J26" s="59"/>
      <c r="K26" s="59"/>
      <c r="L26" s="2">
        <f t="shared" si="2"/>
        <v>0</v>
      </c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>
      <c r="A27" s="51"/>
      <c r="B27" s="72" t="s">
        <v>882</v>
      </c>
      <c r="C27" s="59"/>
      <c r="D27" s="51">
        <f t="shared" si="0"/>
        <v>39782661</v>
      </c>
      <c r="E27" s="36" t="s">
        <v>61</v>
      </c>
      <c r="F27" s="62"/>
      <c r="G27" s="59"/>
      <c r="H27" s="59"/>
      <c r="I27" s="59"/>
      <c r="J27" s="59"/>
      <c r="K27" s="59">
        <f t="shared" si="1"/>
        <v>0</v>
      </c>
      <c r="L27" s="2">
        <f t="shared" si="2"/>
        <v>0</v>
      </c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>
      <c r="A28" s="353">
        <v>45415</v>
      </c>
      <c r="B28" s="72" t="s">
        <v>577</v>
      </c>
      <c r="C28" s="59">
        <v>-11000</v>
      </c>
      <c r="D28" s="51">
        <f t="shared" si="0"/>
        <v>39771661</v>
      </c>
      <c r="E28" s="36" t="s">
        <v>578</v>
      </c>
      <c r="F28" s="62"/>
      <c r="G28" s="59"/>
      <c r="H28" s="59"/>
      <c r="I28" s="59"/>
      <c r="J28" s="59"/>
      <c r="K28" s="59">
        <f t="shared" si="1"/>
        <v>-11000</v>
      </c>
      <c r="L28" s="2">
        <f t="shared" si="2"/>
        <v>0</v>
      </c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>
      <c r="B29" s="72" t="s">
        <v>883</v>
      </c>
      <c r="C29" s="59">
        <v>-20000</v>
      </c>
      <c r="D29" s="51">
        <f t="shared" si="0"/>
        <v>39751661</v>
      </c>
      <c r="E29" s="36" t="s">
        <v>578</v>
      </c>
      <c r="F29" s="62"/>
      <c r="G29" s="59"/>
      <c r="H29" s="59"/>
      <c r="I29" s="59"/>
      <c r="J29" s="59"/>
      <c r="K29" s="59">
        <f t="shared" si="1"/>
        <v>-20000</v>
      </c>
      <c r="L29" s="2">
        <f t="shared" si="2"/>
        <v>0</v>
      </c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>
      <c r="B30" s="72" t="s">
        <v>884</v>
      </c>
      <c r="C30" s="59">
        <v>-2138000</v>
      </c>
      <c r="D30" s="51">
        <f t="shared" si="0"/>
        <v>37613661</v>
      </c>
      <c r="E30" s="36" t="s">
        <v>578</v>
      </c>
      <c r="F30" s="62"/>
      <c r="G30" s="59"/>
      <c r="H30" s="59"/>
      <c r="I30" s="59"/>
      <c r="J30" s="59"/>
      <c r="K30" s="59">
        <f t="shared" si="1"/>
        <v>-2138000</v>
      </c>
      <c r="L30" s="2">
        <f t="shared" si="2"/>
        <v>0</v>
      </c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>
      <c r="A31" s="354"/>
      <c r="B31" s="72" t="s">
        <v>885</v>
      </c>
      <c r="C31" s="59">
        <v>2000000</v>
      </c>
      <c r="D31" s="51">
        <f t="shared" si="0"/>
        <v>39613661</v>
      </c>
      <c r="E31" s="36" t="s">
        <v>61</v>
      </c>
      <c r="F31" s="62"/>
      <c r="G31" s="59"/>
      <c r="H31" s="59"/>
      <c r="I31" s="59">
        <f>C31</f>
        <v>2000000</v>
      </c>
      <c r="J31" s="59"/>
      <c r="K31" s="59"/>
      <c r="L31" s="2">
        <f t="shared" si="2"/>
        <v>0</v>
      </c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>
      <c r="A32" s="354"/>
      <c r="B32" s="72" t="s">
        <v>886</v>
      </c>
      <c r="C32" s="59"/>
      <c r="D32" s="51">
        <f t="shared" si="0"/>
        <v>39613661</v>
      </c>
      <c r="E32" s="36" t="s">
        <v>61</v>
      </c>
      <c r="F32" s="62"/>
      <c r="G32" s="59"/>
      <c r="H32" s="59"/>
      <c r="I32" s="59"/>
      <c r="J32" s="59"/>
      <c r="K32" s="59">
        <f t="shared" si="1"/>
        <v>0</v>
      </c>
      <c r="L32" s="2">
        <f t="shared" si="2"/>
        <v>0</v>
      </c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>
      <c r="B33" s="72" t="s">
        <v>887</v>
      </c>
      <c r="C33" s="59">
        <v>-65000</v>
      </c>
      <c r="D33" s="51">
        <f t="shared" si="0"/>
        <v>39548661</v>
      </c>
      <c r="E33" s="36" t="s">
        <v>578</v>
      </c>
      <c r="F33" s="62"/>
      <c r="G33" s="59"/>
      <c r="H33" s="59"/>
      <c r="I33" s="59"/>
      <c r="J33" s="59"/>
      <c r="K33" s="59">
        <f t="shared" si="1"/>
        <v>-65000</v>
      </c>
      <c r="L33" s="2">
        <f t="shared" si="2"/>
        <v>0</v>
      </c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>
      <c r="A34" s="353"/>
      <c r="B34" s="72" t="s">
        <v>888</v>
      </c>
      <c r="C34" s="59">
        <v>-229000</v>
      </c>
      <c r="D34" s="51">
        <f t="shared" si="0"/>
        <v>39319661</v>
      </c>
      <c r="E34" s="36" t="s">
        <v>578</v>
      </c>
      <c r="F34" s="62"/>
      <c r="G34" s="59"/>
      <c r="H34" s="59"/>
      <c r="I34" s="59"/>
      <c r="J34" s="59"/>
      <c r="K34" s="59">
        <f t="shared" si="1"/>
        <v>-229000</v>
      </c>
      <c r="L34" s="2">
        <f t="shared" si="2"/>
        <v>0</v>
      </c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>
      <c r="A35" s="6"/>
      <c r="B35" s="72" t="s">
        <v>589</v>
      </c>
      <c r="C35" s="59">
        <v>-349400</v>
      </c>
      <c r="D35" s="51">
        <f t="shared" si="0"/>
        <v>38970261</v>
      </c>
      <c r="E35" s="36" t="s">
        <v>578</v>
      </c>
      <c r="F35" s="62"/>
      <c r="G35" s="59"/>
      <c r="H35" s="59"/>
      <c r="I35" s="59"/>
      <c r="J35" s="59"/>
      <c r="K35" s="59">
        <f t="shared" si="1"/>
        <v>-349400</v>
      </c>
      <c r="L35" s="2">
        <f t="shared" si="2"/>
        <v>0</v>
      </c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>
      <c r="A36" s="6"/>
      <c r="B36" s="72" t="s">
        <v>600</v>
      </c>
      <c r="C36" s="59">
        <v>-77394</v>
      </c>
      <c r="D36" s="51">
        <f t="shared" si="0"/>
        <v>38892867</v>
      </c>
      <c r="E36" s="36" t="s">
        <v>578</v>
      </c>
      <c r="F36" s="62"/>
      <c r="G36" s="59"/>
      <c r="H36" s="59"/>
      <c r="I36" s="59"/>
      <c r="J36" s="59"/>
      <c r="K36" s="59">
        <f t="shared" si="1"/>
        <v>-77394</v>
      </c>
      <c r="L36" s="2">
        <f t="shared" si="2"/>
        <v>0</v>
      </c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>
      <c r="A37" s="148"/>
      <c r="B37" s="72" t="s">
        <v>889</v>
      </c>
      <c r="C37" s="59">
        <v>-304000</v>
      </c>
      <c r="D37" s="51">
        <f t="shared" si="0"/>
        <v>38588867</v>
      </c>
      <c r="E37" s="36" t="s">
        <v>578</v>
      </c>
      <c r="F37" s="62"/>
      <c r="G37" s="59"/>
      <c r="H37" s="59"/>
      <c r="I37" s="59"/>
      <c r="J37" s="59"/>
      <c r="K37" s="59">
        <f t="shared" si="1"/>
        <v>-304000</v>
      </c>
      <c r="L37" s="2">
        <f t="shared" si="2"/>
        <v>0</v>
      </c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>
      <c r="A38" s="354"/>
      <c r="B38" s="72" t="s">
        <v>890</v>
      </c>
      <c r="C38" s="59">
        <v>-2500000</v>
      </c>
      <c r="D38" s="51">
        <f t="shared" si="0"/>
        <v>36088867</v>
      </c>
      <c r="E38" s="36" t="s">
        <v>578</v>
      </c>
      <c r="F38" s="62"/>
      <c r="G38" s="59"/>
      <c r="H38" s="59"/>
      <c r="I38" s="59"/>
      <c r="J38" s="59"/>
      <c r="K38" s="59">
        <f t="shared" si="1"/>
        <v>-2500000</v>
      </c>
      <c r="L38" s="2">
        <f t="shared" si="2"/>
        <v>0</v>
      </c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>
      <c r="A39" s="354"/>
      <c r="B39" s="72" t="s">
        <v>18</v>
      </c>
      <c r="C39" s="59">
        <v>140000</v>
      </c>
      <c r="D39" s="51">
        <f t="shared" si="0"/>
        <v>36228867</v>
      </c>
      <c r="E39" s="36" t="s">
        <v>1</v>
      </c>
      <c r="F39" s="62"/>
      <c r="G39" s="59"/>
      <c r="H39" s="59">
        <f>C39</f>
        <v>140000</v>
      </c>
      <c r="I39" s="59"/>
      <c r="J39" s="59"/>
      <c r="K39" s="59"/>
      <c r="L39" s="2">
        <f t="shared" si="2"/>
        <v>0</v>
      </c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>
      <c r="B40" s="72" t="s">
        <v>579</v>
      </c>
      <c r="C40" s="59">
        <v>-1032000</v>
      </c>
      <c r="D40" s="51">
        <f t="shared" si="0"/>
        <v>35196867</v>
      </c>
      <c r="E40" s="36" t="s">
        <v>578</v>
      </c>
      <c r="F40" s="62"/>
      <c r="G40" s="59"/>
      <c r="H40" s="59"/>
      <c r="I40" s="59"/>
      <c r="J40" s="59"/>
      <c r="K40" s="59">
        <f t="shared" si="1"/>
        <v>-1032000</v>
      </c>
      <c r="L40" s="2">
        <f t="shared" si="2"/>
        <v>0</v>
      </c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>
      <c r="B41" s="72" t="s">
        <v>891</v>
      </c>
      <c r="C41" s="59"/>
      <c r="D41" s="51">
        <f t="shared" si="0"/>
        <v>35196867</v>
      </c>
      <c r="E41" s="36" t="s">
        <v>61</v>
      </c>
      <c r="F41" s="62"/>
      <c r="G41" s="59"/>
      <c r="H41" s="59"/>
      <c r="I41" s="59"/>
      <c r="J41" s="59"/>
      <c r="K41" s="59">
        <f t="shared" si="1"/>
        <v>0</v>
      </c>
      <c r="L41" s="2">
        <f t="shared" si="2"/>
        <v>0</v>
      </c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>
      <c r="A42" s="6"/>
      <c r="B42" s="418" t="s">
        <v>591</v>
      </c>
      <c r="C42" s="59">
        <v>-3250000</v>
      </c>
      <c r="D42" s="51">
        <f t="shared" si="0"/>
        <v>31946867</v>
      </c>
      <c r="E42" s="36" t="s">
        <v>578</v>
      </c>
      <c r="F42" s="62"/>
      <c r="G42" s="59"/>
      <c r="H42" s="59"/>
      <c r="I42" s="59"/>
      <c r="J42" s="59"/>
      <c r="K42" s="59">
        <f t="shared" si="1"/>
        <v>-3250000</v>
      </c>
      <c r="L42" s="2">
        <f t="shared" si="2"/>
        <v>0</v>
      </c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>
      <c r="A43" s="353">
        <v>45416</v>
      </c>
      <c r="B43" s="72" t="s">
        <v>577</v>
      </c>
      <c r="C43" s="59">
        <v>-11000</v>
      </c>
      <c r="D43" s="51">
        <f t="shared" si="0"/>
        <v>31935867</v>
      </c>
      <c r="E43" s="36" t="s">
        <v>578</v>
      </c>
      <c r="F43" s="62"/>
      <c r="G43" s="59"/>
      <c r="H43" s="59"/>
      <c r="I43" s="59"/>
      <c r="J43" s="59"/>
      <c r="K43" s="59">
        <f t="shared" si="1"/>
        <v>-11000</v>
      </c>
      <c r="L43" s="2">
        <f t="shared" si="2"/>
        <v>0</v>
      </c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>
      <c r="B44" s="72" t="s">
        <v>892</v>
      </c>
      <c r="C44" s="59">
        <v>22880000</v>
      </c>
      <c r="D44" s="51">
        <f t="shared" si="0"/>
        <v>54815867</v>
      </c>
      <c r="E44" s="36" t="s">
        <v>585</v>
      </c>
      <c r="F44" s="62">
        <f>C44</f>
        <v>22880000</v>
      </c>
      <c r="G44" s="59"/>
      <c r="H44" s="59"/>
      <c r="I44" s="59"/>
      <c r="J44" s="59"/>
      <c r="K44" s="59"/>
      <c r="L44" s="2">
        <f t="shared" si="2"/>
        <v>0</v>
      </c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>
      <c r="A45" s="354"/>
      <c r="B45" s="72" t="s">
        <v>595</v>
      </c>
      <c r="C45" s="59">
        <v>-10000</v>
      </c>
      <c r="D45" s="51">
        <f t="shared" si="0"/>
        <v>54805867</v>
      </c>
      <c r="E45" s="36" t="s">
        <v>578</v>
      </c>
      <c r="F45" s="62"/>
      <c r="G45" s="59"/>
      <c r="H45" s="59"/>
      <c r="I45" s="59"/>
      <c r="J45" s="59"/>
      <c r="K45" s="59">
        <f t="shared" si="1"/>
        <v>-10000</v>
      </c>
      <c r="L45" s="2">
        <f t="shared" si="2"/>
        <v>0</v>
      </c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>
      <c r="A46" s="6"/>
      <c r="B46" s="72" t="s">
        <v>893</v>
      </c>
      <c r="C46" s="59">
        <v>-300000</v>
      </c>
      <c r="D46" s="51">
        <f t="shared" si="0"/>
        <v>54505867</v>
      </c>
      <c r="E46" s="36" t="s">
        <v>578</v>
      </c>
      <c r="F46" s="62"/>
      <c r="G46" s="59"/>
      <c r="H46" s="59"/>
      <c r="I46" s="59"/>
      <c r="J46" s="59"/>
      <c r="K46" s="59">
        <f t="shared" si="1"/>
        <v>-300000</v>
      </c>
      <c r="L46" s="2">
        <f t="shared" si="2"/>
        <v>0</v>
      </c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>
      <c r="A47" s="353"/>
      <c r="B47" s="72" t="s">
        <v>894</v>
      </c>
      <c r="C47" s="59">
        <v>-200000</v>
      </c>
      <c r="D47" s="51">
        <f t="shared" si="0"/>
        <v>54305867</v>
      </c>
      <c r="E47" s="36" t="s">
        <v>578</v>
      </c>
      <c r="F47" s="62"/>
      <c r="G47" s="59"/>
      <c r="H47" s="59"/>
      <c r="I47" s="59"/>
      <c r="J47" s="59"/>
      <c r="K47" s="59">
        <f t="shared" si="1"/>
        <v>-200000</v>
      </c>
      <c r="L47" s="2">
        <f t="shared" si="2"/>
        <v>0</v>
      </c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>
      <c r="B48" s="72" t="s">
        <v>895</v>
      </c>
      <c r="C48" s="93">
        <v>1500000</v>
      </c>
      <c r="D48" s="51">
        <f t="shared" si="0"/>
        <v>55805867</v>
      </c>
      <c r="E48" s="36" t="s">
        <v>61</v>
      </c>
      <c r="F48" s="62"/>
      <c r="G48" s="59"/>
      <c r="H48" s="59"/>
      <c r="I48" s="59">
        <f>C48</f>
        <v>1500000</v>
      </c>
      <c r="J48" s="59"/>
      <c r="K48" s="59"/>
      <c r="L48" s="2">
        <f t="shared" si="2"/>
        <v>0</v>
      </c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>
      <c r="A49" s="148"/>
      <c r="B49" s="72" t="s">
        <v>896</v>
      </c>
      <c r="C49" s="93">
        <v>-200031</v>
      </c>
      <c r="D49" s="51">
        <f t="shared" si="0"/>
        <v>55605836</v>
      </c>
      <c r="E49" s="36" t="s">
        <v>578</v>
      </c>
      <c r="F49" s="62"/>
      <c r="G49" s="59"/>
      <c r="H49" s="59"/>
      <c r="I49" s="59"/>
      <c r="J49" s="59"/>
      <c r="K49" s="59">
        <f t="shared" si="1"/>
        <v>-200031</v>
      </c>
      <c r="L49" s="2">
        <f t="shared" si="2"/>
        <v>0</v>
      </c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>
      <c r="A50" s="354"/>
      <c r="B50" s="72" t="s">
        <v>897</v>
      </c>
      <c r="C50" s="93">
        <v>-65000</v>
      </c>
      <c r="D50" s="51">
        <f t="shared" si="0"/>
        <v>55540836</v>
      </c>
      <c r="E50" s="36" t="s">
        <v>578</v>
      </c>
      <c r="F50" s="62"/>
      <c r="G50" s="59"/>
      <c r="H50" s="59"/>
      <c r="I50" s="59"/>
      <c r="J50" s="59"/>
      <c r="K50" s="59">
        <f t="shared" si="1"/>
        <v>-65000</v>
      </c>
      <c r="L50" s="2">
        <f t="shared" si="2"/>
        <v>0</v>
      </c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>
      <c r="B51" s="72" t="s">
        <v>898</v>
      </c>
      <c r="C51" s="93">
        <v>-147900</v>
      </c>
      <c r="D51" s="51">
        <f t="shared" si="0"/>
        <v>55392936</v>
      </c>
      <c r="E51" s="36" t="s">
        <v>578</v>
      </c>
      <c r="F51" s="62"/>
      <c r="G51" s="59"/>
      <c r="H51" s="59"/>
      <c r="I51" s="59"/>
      <c r="J51" s="59"/>
      <c r="K51" s="59">
        <f t="shared" si="1"/>
        <v>-147900</v>
      </c>
      <c r="L51" s="2">
        <f t="shared" si="2"/>
        <v>0</v>
      </c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>
      <c r="A52" s="6"/>
      <c r="B52" s="72" t="s">
        <v>591</v>
      </c>
      <c r="C52" s="93">
        <v>-191000</v>
      </c>
      <c r="D52" s="51">
        <f t="shared" si="0"/>
        <v>55201936</v>
      </c>
      <c r="E52" s="36" t="s">
        <v>578</v>
      </c>
      <c r="F52" s="62"/>
      <c r="G52" s="59"/>
      <c r="H52" s="59"/>
      <c r="I52" s="59"/>
      <c r="J52" s="59"/>
      <c r="K52" s="59">
        <f t="shared" si="1"/>
        <v>-191000</v>
      </c>
      <c r="L52" s="2">
        <f t="shared" si="2"/>
        <v>0</v>
      </c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>
      <c r="A53" s="354"/>
      <c r="B53" s="72" t="s">
        <v>899</v>
      </c>
      <c r="C53" s="93">
        <v>541000</v>
      </c>
      <c r="D53" s="51">
        <f t="shared" si="0"/>
        <v>55742936</v>
      </c>
      <c r="E53" s="36" t="s">
        <v>1</v>
      </c>
      <c r="F53" s="62"/>
      <c r="G53" s="59"/>
      <c r="H53" s="59">
        <f>C53</f>
        <v>541000</v>
      </c>
      <c r="I53" s="59"/>
      <c r="J53" s="59"/>
      <c r="K53" s="59"/>
      <c r="L53" s="2">
        <f t="shared" si="2"/>
        <v>0</v>
      </c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>
      <c r="B54" s="72" t="s">
        <v>900</v>
      </c>
      <c r="C54" s="93">
        <v>262000</v>
      </c>
      <c r="D54" s="51">
        <f t="shared" si="0"/>
        <v>56004936</v>
      </c>
      <c r="E54" s="36" t="s">
        <v>1</v>
      </c>
      <c r="F54" s="62"/>
      <c r="G54" s="59"/>
      <c r="H54" s="59">
        <f>C54</f>
        <v>262000</v>
      </c>
      <c r="I54" s="59"/>
      <c r="J54" s="59"/>
      <c r="K54" s="59"/>
      <c r="L54" s="2">
        <f t="shared" si="2"/>
        <v>0</v>
      </c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>
      <c r="B55" s="72" t="s">
        <v>901</v>
      </c>
      <c r="C55" s="93">
        <v>-10000</v>
      </c>
      <c r="D55" s="51">
        <f t="shared" si="0"/>
        <v>55994936</v>
      </c>
      <c r="E55" s="36" t="s">
        <v>578</v>
      </c>
      <c r="F55" s="62"/>
      <c r="G55" s="59"/>
      <c r="H55" s="59"/>
      <c r="I55" s="59"/>
      <c r="J55" s="59"/>
      <c r="K55" s="59">
        <f t="shared" ref="K55:K118" si="3">C55</f>
        <v>-10000</v>
      </c>
      <c r="L55" s="2">
        <f t="shared" si="2"/>
        <v>0</v>
      </c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>
      <c r="A56" s="353"/>
      <c r="B56" s="72" t="s">
        <v>18</v>
      </c>
      <c r="C56" s="93">
        <v>230000</v>
      </c>
      <c r="D56" s="51">
        <f t="shared" si="0"/>
        <v>56224936</v>
      </c>
      <c r="E56" s="36" t="s">
        <v>1</v>
      </c>
      <c r="F56" s="62"/>
      <c r="G56" s="59"/>
      <c r="H56" s="59">
        <f>C56</f>
        <v>230000</v>
      </c>
      <c r="I56" s="59"/>
      <c r="J56" s="59"/>
      <c r="K56" s="59"/>
      <c r="L56" s="2">
        <f t="shared" si="2"/>
        <v>0</v>
      </c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>
      <c r="A57" s="6"/>
      <c r="B57" s="72" t="s">
        <v>902</v>
      </c>
      <c r="C57" s="93">
        <v>14500000</v>
      </c>
      <c r="D57" s="51">
        <f t="shared" si="0"/>
        <v>70724936</v>
      </c>
      <c r="E57" s="36" t="s">
        <v>585</v>
      </c>
      <c r="F57" s="62">
        <f>C57</f>
        <v>14500000</v>
      </c>
      <c r="G57" s="59"/>
      <c r="H57" s="59"/>
      <c r="I57" s="59"/>
      <c r="J57" s="59"/>
      <c r="K57" s="59"/>
      <c r="L57" s="2">
        <f t="shared" si="2"/>
        <v>0</v>
      </c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>
      <c r="A58" s="148"/>
      <c r="B58" s="72" t="s">
        <v>599</v>
      </c>
      <c r="C58" s="93">
        <v>-64000</v>
      </c>
      <c r="D58" s="51">
        <f t="shared" si="0"/>
        <v>70660936</v>
      </c>
      <c r="E58" s="36" t="s">
        <v>578</v>
      </c>
      <c r="F58" s="62"/>
      <c r="G58" s="59"/>
      <c r="H58" s="59"/>
      <c r="I58" s="59"/>
      <c r="J58" s="59"/>
      <c r="K58" s="59">
        <f t="shared" si="3"/>
        <v>-64000</v>
      </c>
      <c r="L58" s="2">
        <f t="shared" si="2"/>
        <v>0</v>
      </c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>
      <c r="A59" s="353">
        <v>45417</v>
      </c>
      <c r="B59" s="72" t="s">
        <v>577</v>
      </c>
      <c r="C59" s="93">
        <v>-11000</v>
      </c>
      <c r="D59" s="51">
        <f t="shared" si="0"/>
        <v>70649936</v>
      </c>
      <c r="E59" s="36" t="s">
        <v>578</v>
      </c>
      <c r="F59" s="62"/>
      <c r="G59" s="59"/>
      <c r="H59" s="59"/>
      <c r="I59" s="59"/>
      <c r="J59" s="59"/>
      <c r="K59" s="59">
        <f t="shared" si="3"/>
        <v>-11000</v>
      </c>
      <c r="L59" s="2">
        <f t="shared" si="2"/>
        <v>0</v>
      </c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>
      <c r="B60" s="72" t="s">
        <v>591</v>
      </c>
      <c r="C60" s="93">
        <v>-3736000</v>
      </c>
      <c r="D60" s="51">
        <f t="shared" si="0"/>
        <v>66913936</v>
      </c>
      <c r="E60" s="36" t="s">
        <v>578</v>
      </c>
      <c r="F60" s="62"/>
      <c r="G60" s="59"/>
      <c r="H60" s="59"/>
      <c r="I60" s="59"/>
      <c r="J60" s="59"/>
      <c r="K60" s="59">
        <f t="shared" si="3"/>
        <v>-3736000</v>
      </c>
      <c r="L60" s="2">
        <f t="shared" si="2"/>
        <v>0</v>
      </c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>
      <c r="A61" s="148"/>
      <c r="B61" s="72" t="s">
        <v>903</v>
      </c>
      <c r="C61" s="93">
        <v>-20000</v>
      </c>
      <c r="D61" s="51">
        <f t="shared" si="0"/>
        <v>66893936</v>
      </c>
      <c r="E61" s="36" t="s">
        <v>578</v>
      </c>
      <c r="F61" s="62"/>
      <c r="G61" s="59"/>
      <c r="H61" s="59"/>
      <c r="I61" s="59"/>
      <c r="J61" s="59"/>
      <c r="K61" s="59">
        <f t="shared" si="3"/>
        <v>-20000</v>
      </c>
      <c r="L61" s="2">
        <f t="shared" si="2"/>
        <v>0</v>
      </c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>
      <c r="A62" s="148"/>
      <c r="B62" s="72" t="s">
        <v>604</v>
      </c>
      <c r="C62" s="93">
        <v>-440500</v>
      </c>
      <c r="D62" s="51">
        <f t="shared" si="0"/>
        <v>66453436</v>
      </c>
      <c r="E62" s="36" t="s">
        <v>578</v>
      </c>
      <c r="F62" s="62"/>
      <c r="G62" s="59"/>
      <c r="H62" s="59"/>
      <c r="I62" s="59"/>
      <c r="J62" s="59"/>
      <c r="K62" s="59">
        <f t="shared" si="3"/>
        <v>-440500</v>
      </c>
      <c r="L62" s="2">
        <f t="shared" si="2"/>
        <v>0</v>
      </c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>
      <c r="A63" s="354"/>
      <c r="B63" s="72" t="s">
        <v>904</v>
      </c>
      <c r="C63" s="93"/>
      <c r="D63" s="51">
        <f t="shared" si="0"/>
        <v>66453436</v>
      </c>
      <c r="E63" s="36" t="s">
        <v>585</v>
      </c>
      <c r="F63" s="62"/>
      <c r="G63" s="59"/>
      <c r="H63" s="59"/>
      <c r="I63" s="59"/>
      <c r="J63" s="59"/>
      <c r="K63" s="59">
        <f t="shared" si="3"/>
        <v>0</v>
      </c>
      <c r="L63" s="2">
        <f t="shared" si="2"/>
        <v>0</v>
      </c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>
      <c r="A64" s="6"/>
      <c r="B64" s="72" t="s">
        <v>591</v>
      </c>
      <c r="C64" s="93">
        <v>-92000</v>
      </c>
      <c r="D64" s="51">
        <f t="shared" si="0"/>
        <v>66361436</v>
      </c>
      <c r="E64" s="36" t="s">
        <v>578</v>
      </c>
      <c r="F64" s="62"/>
      <c r="G64" s="59"/>
      <c r="H64" s="59"/>
      <c r="I64" s="59"/>
      <c r="J64" s="59"/>
      <c r="K64" s="59">
        <f t="shared" si="3"/>
        <v>-92000</v>
      </c>
      <c r="L64" s="2">
        <f t="shared" si="2"/>
        <v>0</v>
      </c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>
      <c r="A65" s="353"/>
      <c r="B65" s="72" t="s">
        <v>905</v>
      </c>
      <c r="C65" s="93">
        <v>-80000</v>
      </c>
      <c r="D65" s="51">
        <f t="shared" si="0"/>
        <v>66281436</v>
      </c>
      <c r="E65" s="36" t="s">
        <v>578</v>
      </c>
      <c r="F65" s="62"/>
      <c r="G65" s="59"/>
      <c r="H65" s="59"/>
      <c r="I65" s="59"/>
      <c r="J65" s="59"/>
      <c r="K65" s="59">
        <f t="shared" si="3"/>
        <v>-80000</v>
      </c>
      <c r="L65" s="2">
        <f t="shared" si="2"/>
        <v>0</v>
      </c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>
      <c r="A66" s="6"/>
      <c r="B66" s="72" t="s">
        <v>906</v>
      </c>
      <c r="C66" s="93">
        <v>-75000</v>
      </c>
      <c r="D66" s="51">
        <f t="shared" ref="D66:D129" si="4">SUM(D65,C66)</f>
        <v>66206436</v>
      </c>
      <c r="E66" s="36" t="s">
        <v>578</v>
      </c>
      <c r="F66" s="62"/>
      <c r="G66" s="59"/>
      <c r="H66" s="59"/>
      <c r="I66" s="59"/>
      <c r="J66" s="59"/>
      <c r="K66" s="59">
        <f t="shared" si="3"/>
        <v>-75000</v>
      </c>
      <c r="L66" s="2">
        <f t="shared" si="2"/>
        <v>0</v>
      </c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>
      <c r="A67" s="354"/>
      <c r="B67" s="72" t="s">
        <v>18</v>
      </c>
      <c r="C67" s="93">
        <v>240000</v>
      </c>
      <c r="D67" s="51">
        <f t="shared" si="4"/>
        <v>66446436</v>
      </c>
      <c r="E67" s="36" t="s">
        <v>1</v>
      </c>
      <c r="F67" s="62"/>
      <c r="G67" s="59"/>
      <c r="H67" s="59">
        <f>C67</f>
        <v>240000</v>
      </c>
      <c r="I67" s="59"/>
      <c r="J67" s="59"/>
      <c r="K67" s="59"/>
      <c r="L67" s="2">
        <f t="shared" ref="L67:L130" si="5">C67-F67-G67-H67-I67-J67-K67</f>
        <v>0</v>
      </c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>
      <c r="A68" s="354"/>
      <c r="B68" s="72" t="s">
        <v>907</v>
      </c>
      <c r="C68" s="93">
        <v>-65000</v>
      </c>
      <c r="D68" s="51">
        <f t="shared" si="4"/>
        <v>66381436</v>
      </c>
      <c r="E68" s="36" t="s">
        <v>578</v>
      </c>
      <c r="F68" s="62"/>
      <c r="G68" s="59"/>
      <c r="H68" s="59"/>
      <c r="I68" s="59"/>
      <c r="J68" s="59"/>
      <c r="K68" s="59">
        <f t="shared" si="3"/>
        <v>-65000</v>
      </c>
      <c r="L68" s="2">
        <f t="shared" si="5"/>
        <v>0</v>
      </c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>
      <c r="B69" s="72" t="s">
        <v>908</v>
      </c>
      <c r="C69" s="93">
        <v>-65000</v>
      </c>
      <c r="D69" s="51">
        <f t="shared" si="4"/>
        <v>66316436</v>
      </c>
      <c r="E69" s="36" t="s">
        <v>578</v>
      </c>
      <c r="F69" s="62"/>
      <c r="G69" s="59"/>
      <c r="H69" s="59"/>
      <c r="I69" s="59"/>
      <c r="J69" s="59"/>
      <c r="K69" s="59">
        <f t="shared" si="3"/>
        <v>-65000</v>
      </c>
      <c r="L69" s="2">
        <f t="shared" si="5"/>
        <v>0</v>
      </c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>
      <c r="A70" s="148"/>
      <c r="B70" s="72" t="s">
        <v>599</v>
      </c>
      <c r="C70" s="93">
        <v>-18000</v>
      </c>
      <c r="D70" s="51">
        <f t="shared" si="4"/>
        <v>66298436</v>
      </c>
      <c r="E70" s="36" t="s">
        <v>578</v>
      </c>
      <c r="F70" s="62"/>
      <c r="G70" s="59"/>
      <c r="H70" s="59"/>
      <c r="I70" s="59"/>
      <c r="J70" s="59"/>
      <c r="K70" s="59">
        <f t="shared" si="3"/>
        <v>-18000</v>
      </c>
      <c r="L70" s="2">
        <f t="shared" si="5"/>
        <v>0</v>
      </c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>
      <c r="A71" s="353">
        <v>45418</v>
      </c>
      <c r="B71" s="72" t="s">
        <v>577</v>
      </c>
      <c r="C71" s="93">
        <v>-11000</v>
      </c>
      <c r="D71" s="51">
        <f t="shared" si="4"/>
        <v>66287436</v>
      </c>
      <c r="E71" s="36" t="s">
        <v>578</v>
      </c>
      <c r="F71" s="62"/>
      <c r="G71" s="59"/>
      <c r="H71" s="59"/>
      <c r="I71" s="59"/>
      <c r="J71" s="59"/>
      <c r="K71" s="59">
        <f t="shared" si="3"/>
        <v>-11000</v>
      </c>
      <c r="L71" s="2">
        <f t="shared" si="5"/>
        <v>0</v>
      </c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>
      <c r="B72" s="72" t="s">
        <v>909</v>
      </c>
      <c r="C72" s="93">
        <v>-200000</v>
      </c>
      <c r="D72" s="51">
        <f t="shared" si="4"/>
        <v>66087436</v>
      </c>
      <c r="E72" s="36" t="s">
        <v>578</v>
      </c>
      <c r="F72" s="62"/>
      <c r="G72" s="59"/>
      <c r="H72" s="59"/>
      <c r="I72" s="59"/>
      <c r="J72" s="59"/>
      <c r="K72" s="59">
        <f t="shared" si="3"/>
        <v>-200000</v>
      </c>
      <c r="L72" s="2">
        <f t="shared" si="5"/>
        <v>0</v>
      </c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>
      <c r="A73" s="148"/>
      <c r="B73" s="72" t="s">
        <v>591</v>
      </c>
      <c r="C73" s="93">
        <v>-1897000</v>
      </c>
      <c r="D73" s="51">
        <f t="shared" si="4"/>
        <v>64190436</v>
      </c>
      <c r="E73" s="36" t="s">
        <v>578</v>
      </c>
      <c r="F73" s="62"/>
      <c r="G73" s="59"/>
      <c r="H73" s="59"/>
      <c r="I73" s="59"/>
      <c r="J73" s="59"/>
      <c r="K73" s="59">
        <f t="shared" si="3"/>
        <v>-1897000</v>
      </c>
      <c r="L73" s="2">
        <f t="shared" si="5"/>
        <v>0</v>
      </c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>
      <c r="A74" s="148"/>
      <c r="B74" s="72" t="s">
        <v>910</v>
      </c>
      <c r="C74" s="93">
        <v>2800000</v>
      </c>
      <c r="D74" s="51">
        <f t="shared" si="4"/>
        <v>66990436</v>
      </c>
      <c r="E74" s="36" t="s">
        <v>61</v>
      </c>
      <c r="F74" s="62"/>
      <c r="G74" s="59"/>
      <c r="H74" s="59"/>
      <c r="I74" s="59">
        <f>C74</f>
        <v>2800000</v>
      </c>
      <c r="J74" s="59"/>
      <c r="K74" s="59"/>
      <c r="L74" s="2">
        <f t="shared" si="5"/>
        <v>0</v>
      </c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>
      <c r="A75" s="354"/>
      <c r="B75" s="72" t="s">
        <v>911</v>
      </c>
      <c r="C75" s="93">
        <v>-90000</v>
      </c>
      <c r="D75" s="51">
        <f t="shared" si="4"/>
        <v>66900436</v>
      </c>
      <c r="E75" s="36" t="s">
        <v>578</v>
      </c>
      <c r="F75" s="62"/>
      <c r="G75" s="59"/>
      <c r="H75" s="59"/>
      <c r="I75" s="59"/>
      <c r="J75" s="59"/>
      <c r="K75" s="59">
        <f t="shared" si="3"/>
        <v>-90000</v>
      </c>
      <c r="L75" s="2">
        <f t="shared" si="5"/>
        <v>0</v>
      </c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>
      <c r="A76" s="353"/>
      <c r="B76" s="72" t="s">
        <v>912</v>
      </c>
      <c r="C76" s="93">
        <v>-65000</v>
      </c>
      <c r="D76" s="51">
        <f t="shared" si="4"/>
        <v>66835436</v>
      </c>
      <c r="E76" s="36" t="s">
        <v>578</v>
      </c>
      <c r="F76" s="62"/>
      <c r="G76" s="59"/>
      <c r="H76" s="59"/>
      <c r="I76" s="59"/>
      <c r="J76" s="59"/>
      <c r="K76" s="59">
        <f t="shared" si="3"/>
        <v>-65000</v>
      </c>
      <c r="L76" s="2">
        <f t="shared" si="5"/>
        <v>0</v>
      </c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>
      <c r="A77" s="6"/>
      <c r="B77" s="72" t="s">
        <v>584</v>
      </c>
      <c r="C77" s="93">
        <v>-385000</v>
      </c>
      <c r="D77" s="51">
        <f t="shared" si="4"/>
        <v>66450436</v>
      </c>
      <c r="E77" s="36" t="s">
        <v>578</v>
      </c>
      <c r="F77" s="62"/>
      <c r="G77" s="59"/>
      <c r="H77" s="59"/>
      <c r="I77" s="59"/>
      <c r="J77" s="59"/>
      <c r="K77" s="59">
        <f t="shared" si="3"/>
        <v>-385000</v>
      </c>
      <c r="L77" s="2">
        <f t="shared" si="5"/>
        <v>0</v>
      </c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>
      <c r="A78" s="6"/>
      <c r="B78" s="72" t="s">
        <v>586</v>
      </c>
      <c r="C78" s="93">
        <v>-418000</v>
      </c>
      <c r="D78" s="51">
        <f t="shared" si="4"/>
        <v>66032436</v>
      </c>
      <c r="E78" s="36" t="s">
        <v>578</v>
      </c>
      <c r="F78" s="62"/>
      <c r="G78" s="59"/>
      <c r="H78" s="59"/>
      <c r="I78" s="59"/>
      <c r="J78" s="59"/>
      <c r="K78" s="59">
        <f t="shared" si="3"/>
        <v>-418000</v>
      </c>
      <c r="L78" s="2">
        <f t="shared" si="5"/>
        <v>0</v>
      </c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>
      <c r="A79" s="148"/>
      <c r="B79" s="72" t="s">
        <v>597</v>
      </c>
      <c r="C79" s="93">
        <v>-2282588</v>
      </c>
      <c r="D79" s="51">
        <f t="shared" si="4"/>
        <v>63749848</v>
      </c>
      <c r="E79" s="36" t="s">
        <v>578</v>
      </c>
      <c r="F79" s="62"/>
      <c r="G79" s="59"/>
      <c r="H79" s="59"/>
      <c r="I79" s="59"/>
      <c r="J79" s="59"/>
      <c r="K79" s="59">
        <f t="shared" si="3"/>
        <v>-2282588</v>
      </c>
      <c r="L79" s="2">
        <f t="shared" si="5"/>
        <v>0</v>
      </c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>
      <c r="A80" s="353"/>
      <c r="B80" s="72" t="s">
        <v>913</v>
      </c>
      <c r="C80" s="93">
        <v>-1123850</v>
      </c>
      <c r="D80" s="51">
        <f t="shared" si="4"/>
        <v>62625998</v>
      </c>
      <c r="E80" s="36" t="s">
        <v>578</v>
      </c>
      <c r="F80" s="62"/>
      <c r="G80" s="59"/>
      <c r="H80" s="59"/>
      <c r="I80" s="59"/>
      <c r="J80" s="59"/>
      <c r="K80" s="59">
        <f t="shared" si="3"/>
        <v>-1123850</v>
      </c>
      <c r="L80" s="2">
        <f t="shared" si="5"/>
        <v>0</v>
      </c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>
      <c r="A81" s="6"/>
      <c r="B81" s="72" t="s">
        <v>914</v>
      </c>
      <c r="C81" s="93">
        <v>-91300</v>
      </c>
      <c r="D81" s="51">
        <f t="shared" si="4"/>
        <v>62534698</v>
      </c>
      <c r="E81" s="36" t="s">
        <v>578</v>
      </c>
      <c r="F81" s="62"/>
      <c r="G81" s="59"/>
      <c r="H81" s="59"/>
      <c r="I81" s="59"/>
      <c r="J81" s="59"/>
      <c r="K81" s="59">
        <f t="shared" si="3"/>
        <v>-91300</v>
      </c>
      <c r="L81" s="2">
        <f t="shared" si="5"/>
        <v>0</v>
      </c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>
      <c r="A82" s="354"/>
      <c r="B82" s="72" t="s">
        <v>915</v>
      </c>
      <c r="C82" s="93">
        <v>-25414053</v>
      </c>
      <c r="D82" s="51">
        <f t="shared" si="4"/>
        <v>37120645</v>
      </c>
      <c r="E82" s="36" t="s">
        <v>578</v>
      </c>
      <c r="F82" s="62"/>
      <c r="G82" s="59"/>
      <c r="H82" s="59"/>
      <c r="I82" s="59"/>
      <c r="J82" s="59"/>
      <c r="K82" s="59">
        <f t="shared" si="3"/>
        <v>-25414053</v>
      </c>
      <c r="L82" s="2">
        <f t="shared" si="5"/>
        <v>0</v>
      </c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>
      <c r="A83" s="6"/>
      <c r="B83" s="72" t="s">
        <v>916</v>
      </c>
      <c r="C83" s="93">
        <v>-1750000</v>
      </c>
      <c r="D83" s="51">
        <f t="shared" si="4"/>
        <v>35370645</v>
      </c>
      <c r="E83" s="36" t="s">
        <v>578</v>
      </c>
      <c r="F83" s="62"/>
      <c r="G83" s="59"/>
      <c r="H83" s="59"/>
      <c r="I83" s="59"/>
      <c r="J83" s="59"/>
      <c r="K83" s="59">
        <f t="shared" si="3"/>
        <v>-1750000</v>
      </c>
      <c r="L83" s="2">
        <f t="shared" si="5"/>
        <v>0</v>
      </c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>
      <c r="A84" s="353"/>
      <c r="B84" s="72" t="s">
        <v>579</v>
      </c>
      <c r="C84" s="93">
        <v>-340000</v>
      </c>
      <c r="D84" s="51">
        <f t="shared" si="4"/>
        <v>35030645</v>
      </c>
      <c r="E84" s="36" t="s">
        <v>578</v>
      </c>
      <c r="F84" s="62"/>
      <c r="G84" s="59"/>
      <c r="H84" s="59"/>
      <c r="I84" s="59"/>
      <c r="J84" s="59"/>
      <c r="K84" s="59">
        <f t="shared" si="3"/>
        <v>-340000</v>
      </c>
      <c r="L84" s="2">
        <f t="shared" si="5"/>
        <v>0</v>
      </c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>
      <c r="A85" s="353"/>
      <c r="B85" s="72" t="s">
        <v>917</v>
      </c>
      <c r="C85" s="93">
        <v>-7044757</v>
      </c>
      <c r="D85" s="51">
        <f t="shared" si="4"/>
        <v>27985888</v>
      </c>
      <c r="E85" s="36" t="s">
        <v>578</v>
      </c>
      <c r="F85" s="62"/>
      <c r="G85" s="59"/>
      <c r="H85" s="59"/>
      <c r="I85" s="59"/>
      <c r="J85" s="59"/>
      <c r="K85" s="59">
        <f t="shared" si="3"/>
        <v>-7044757</v>
      </c>
      <c r="L85" s="2">
        <f t="shared" si="5"/>
        <v>0</v>
      </c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>
      <c r="A86" s="354"/>
      <c r="B86" s="72" t="s">
        <v>918</v>
      </c>
      <c r="C86" s="93">
        <v>-500000</v>
      </c>
      <c r="D86" s="51">
        <f t="shared" si="4"/>
        <v>27485888</v>
      </c>
      <c r="E86" s="36" t="s">
        <v>578</v>
      </c>
      <c r="F86" s="62"/>
      <c r="G86" s="59"/>
      <c r="H86" s="59"/>
      <c r="I86" s="59"/>
      <c r="J86" s="59"/>
      <c r="K86" s="59">
        <f t="shared" si="3"/>
        <v>-500000</v>
      </c>
      <c r="L86" s="2">
        <f t="shared" si="5"/>
        <v>0</v>
      </c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>
      <c r="B87" s="72" t="s">
        <v>18</v>
      </c>
      <c r="C87" s="93">
        <v>30000</v>
      </c>
      <c r="D87" s="51">
        <f t="shared" si="4"/>
        <v>27515888</v>
      </c>
      <c r="E87" s="36" t="s">
        <v>1</v>
      </c>
      <c r="F87" s="62"/>
      <c r="G87" s="59"/>
      <c r="H87" s="59">
        <f>C87</f>
        <v>30000</v>
      </c>
      <c r="I87" s="59"/>
      <c r="J87" s="59"/>
      <c r="K87" s="59"/>
      <c r="L87" s="2">
        <f t="shared" si="5"/>
        <v>0</v>
      </c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>
      <c r="A88" s="91"/>
      <c r="B88" s="72" t="s">
        <v>919</v>
      </c>
      <c r="C88" s="93">
        <v>-10000</v>
      </c>
      <c r="D88" s="51">
        <f t="shared" si="4"/>
        <v>27505888</v>
      </c>
      <c r="E88" s="36" t="s">
        <v>578</v>
      </c>
      <c r="F88" s="62"/>
      <c r="G88" s="59"/>
      <c r="H88" s="59"/>
      <c r="I88" s="59"/>
      <c r="J88" s="59"/>
      <c r="K88" s="59">
        <f t="shared" si="3"/>
        <v>-10000</v>
      </c>
      <c r="L88" s="2">
        <f t="shared" si="5"/>
        <v>0</v>
      </c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>
      <c r="B89" s="72" t="s">
        <v>920</v>
      </c>
      <c r="C89" s="93"/>
      <c r="D89" s="51">
        <f t="shared" si="4"/>
        <v>27505888</v>
      </c>
      <c r="E89" s="36" t="s">
        <v>61</v>
      </c>
      <c r="F89" s="62"/>
      <c r="G89" s="59"/>
      <c r="H89" s="59"/>
      <c r="I89" s="59"/>
      <c r="J89" s="59"/>
      <c r="K89" s="59">
        <f t="shared" si="3"/>
        <v>0</v>
      </c>
      <c r="L89" s="2">
        <f t="shared" si="5"/>
        <v>0</v>
      </c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>
      <c r="A90" s="353">
        <v>45419</v>
      </c>
      <c r="B90" s="72" t="s">
        <v>921</v>
      </c>
      <c r="C90" s="398"/>
      <c r="D90" s="51">
        <f t="shared" si="4"/>
        <v>27505888</v>
      </c>
      <c r="E90" s="36" t="s">
        <v>585</v>
      </c>
      <c r="F90" s="62"/>
      <c r="G90" s="59"/>
      <c r="H90" s="59"/>
      <c r="I90" s="59"/>
      <c r="J90" s="59"/>
      <c r="K90" s="59">
        <f t="shared" si="3"/>
        <v>0</v>
      </c>
      <c r="L90" s="2">
        <f t="shared" si="5"/>
        <v>0</v>
      </c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>
      <c r="B91" s="72" t="s">
        <v>577</v>
      </c>
      <c r="C91" s="398">
        <v>-11000</v>
      </c>
      <c r="D91" s="51">
        <f t="shared" si="4"/>
        <v>27494888</v>
      </c>
      <c r="E91" s="36" t="s">
        <v>578</v>
      </c>
      <c r="F91" s="62"/>
      <c r="G91" s="59"/>
      <c r="H91" s="59"/>
      <c r="I91" s="59"/>
      <c r="J91" s="59"/>
      <c r="K91" s="59">
        <f t="shared" si="3"/>
        <v>-11000</v>
      </c>
      <c r="L91" s="2">
        <f t="shared" si="5"/>
        <v>0</v>
      </c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>
      <c r="A92" s="353"/>
      <c r="B92" s="72" t="s">
        <v>922</v>
      </c>
      <c r="C92" s="398">
        <v>23180000</v>
      </c>
      <c r="D92" s="51">
        <f t="shared" si="4"/>
        <v>50674888</v>
      </c>
      <c r="E92" s="36" t="s">
        <v>585</v>
      </c>
      <c r="F92" s="62">
        <f>C92</f>
        <v>23180000</v>
      </c>
      <c r="G92" s="59"/>
      <c r="H92" s="59"/>
      <c r="I92" s="59"/>
      <c r="J92" s="59"/>
      <c r="K92" s="59"/>
      <c r="L92" s="2">
        <f t="shared" si="5"/>
        <v>0</v>
      </c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>
      <c r="A93" s="354"/>
      <c r="B93" s="72" t="s">
        <v>923</v>
      </c>
      <c r="C93" s="398">
        <v>-3300000</v>
      </c>
      <c r="D93" s="51">
        <f t="shared" si="4"/>
        <v>47374888</v>
      </c>
      <c r="E93" s="36" t="s">
        <v>578</v>
      </c>
      <c r="F93" s="62"/>
      <c r="G93" s="59"/>
      <c r="H93" s="59"/>
      <c r="I93" s="59"/>
      <c r="J93" s="59"/>
      <c r="K93" s="59">
        <f t="shared" si="3"/>
        <v>-3300000</v>
      </c>
      <c r="L93" s="2">
        <f t="shared" si="5"/>
        <v>0</v>
      </c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>
      <c r="A94" s="6"/>
      <c r="B94" s="72" t="s">
        <v>879</v>
      </c>
      <c r="C94" s="93">
        <v>-938000</v>
      </c>
      <c r="D94" s="51">
        <f t="shared" si="4"/>
        <v>46436888</v>
      </c>
      <c r="E94" s="36" t="s">
        <v>578</v>
      </c>
      <c r="F94" s="62"/>
      <c r="G94" s="59"/>
      <c r="H94" s="59"/>
      <c r="I94" s="59"/>
      <c r="J94" s="59"/>
      <c r="K94" s="59">
        <f t="shared" si="3"/>
        <v>-938000</v>
      </c>
      <c r="L94" s="2">
        <f t="shared" si="5"/>
        <v>0</v>
      </c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>
      <c r="A95" s="354"/>
      <c r="B95" s="72" t="s">
        <v>584</v>
      </c>
      <c r="C95" s="93">
        <v>-682500</v>
      </c>
      <c r="D95" s="51">
        <f t="shared" si="4"/>
        <v>45754388</v>
      </c>
      <c r="E95" s="36" t="s">
        <v>578</v>
      </c>
      <c r="F95" s="62"/>
      <c r="G95" s="59"/>
      <c r="H95" s="59"/>
      <c r="I95" s="59"/>
      <c r="J95" s="59"/>
      <c r="K95" s="59">
        <f t="shared" si="3"/>
        <v>-682500</v>
      </c>
      <c r="L95" s="2">
        <f t="shared" si="5"/>
        <v>0</v>
      </c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>
      <c r="B96" s="72" t="s">
        <v>924</v>
      </c>
      <c r="C96" s="93">
        <v>-65000</v>
      </c>
      <c r="D96" s="51">
        <f t="shared" si="4"/>
        <v>45689388</v>
      </c>
      <c r="E96" s="36" t="s">
        <v>578</v>
      </c>
      <c r="F96" s="62"/>
      <c r="G96" s="59"/>
      <c r="H96" s="59"/>
      <c r="I96" s="59"/>
      <c r="J96" s="59"/>
      <c r="K96" s="59">
        <f t="shared" si="3"/>
        <v>-65000</v>
      </c>
      <c r="L96" s="2">
        <f t="shared" si="5"/>
        <v>0</v>
      </c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>
      <c r="A97" s="354"/>
      <c r="B97" s="72" t="s">
        <v>586</v>
      </c>
      <c r="C97" s="93">
        <v>-622000</v>
      </c>
      <c r="D97" s="51">
        <f t="shared" si="4"/>
        <v>45067388</v>
      </c>
      <c r="E97" s="36" t="s">
        <v>578</v>
      </c>
      <c r="F97" s="62"/>
      <c r="G97" s="59"/>
      <c r="H97" s="59"/>
      <c r="I97" s="59"/>
      <c r="J97" s="59"/>
      <c r="K97" s="59">
        <f t="shared" si="3"/>
        <v>-622000</v>
      </c>
      <c r="L97" s="2">
        <f t="shared" si="5"/>
        <v>0</v>
      </c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>
      <c r="B98" s="72" t="s">
        <v>590</v>
      </c>
      <c r="C98" s="93">
        <v>-161900</v>
      </c>
      <c r="D98" s="51">
        <f t="shared" si="4"/>
        <v>44905488</v>
      </c>
      <c r="E98" s="36" t="s">
        <v>578</v>
      </c>
      <c r="F98" s="62"/>
      <c r="G98" s="59"/>
      <c r="H98" s="59"/>
      <c r="I98" s="59"/>
      <c r="J98" s="59"/>
      <c r="K98" s="59">
        <f t="shared" si="3"/>
        <v>-161900</v>
      </c>
      <c r="L98" s="2">
        <f t="shared" si="5"/>
        <v>0</v>
      </c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>
      <c r="A99" s="354"/>
      <c r="B99" s="72" t="s">
        <v>925</v>
      </c>
      <c r="C99" s="93">
        <v>1000000</v>
      </c>
      <c r="D99" s="51">
        <f t="shared" si="4"/>
        <v>45905488</v>
      </c>
      <c r="E99" s="36" t="s">
        <v>61</v>
      </c>
      <c r="F99" s="62"/>
      <c r="G99" s="59"/>
      <c r="H99" s="59"/>
      <c r="I99" s="59">
        <f>C99</f>
        <v>1000000</v>
      </c>
      <c r="J99" s="59"/>
      <c r="K99" s="59"/>
      <c r="L99" s="2">
        <f t="shared" si="5"/>
        <v>0</v>
      </c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>
      <c r="A100" s="353"/>
      <c r="B100" s="72" t="s">
        <v>926</v>
      </c>
      <c r="C100" s="93">
        <v>2300000</v>
      </c>
      <c r="D100" s="51">
        <f t="shared" si="4"/>
        <v>48205488</v>
      </c>
      <c r="E100" s="36" t="s">
        <v>61</v>
      </c>
      <c r="F100" s="62"/>
      <c r="G100" s="59"/>
      <c r="H100" s="59"/>
      <c r="I100" s="59">
        <f>C100</f>
        <v>2300000</v>
      </c>
      <c r="J100" s="59"/>
      <c r="K100" s="59"/>
      <c r="L100" s="2">
        <f t="shared" si="5"/>
        <v>0</v>
      </c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>
      <c r="B101" s="72" t="s">
        <v>591</v>
      </c>
      <c r="C101" s="93">
        <v>-2088000</v>
      </c>
      <c r="D101" s="51">
        <f t="shared" si="4"/>
        <v>46117488</v>
      </c>
      <c r="E101" s="36" t="s">
        <v>578</v>
      </c>
      <c r="F101" s="62"/>
      <c r="G101" s="59"/>
      <c r="H101" s="59"/>
      <c r="I101" s="59"/>
      <c r="J101" s="59"/>
      <c r="K101" s="59">
        <f t="shared" si="3"/>
        <v>-2088000</v>
      </c>
      <c r="L101" s="2">
        <f t="shared" si="5"/>
        <v>0</v>
      </c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>
      <c r="B102" s="72" t="s">
        <v>927</v>
      </c>
      <c r="C102" s="93">
        <v>500000</v>
      </c>
      <c r="D102" s="51">
        <f t="shared" si="4"/>
        <v>46617488</v>
      </c>
      <c r="E102" s="36" t="s">
        <v>61</v>
      </c>
      <c r="F102" s="62"/>
      <c r="G102" s="59"/>
      <c r="H102" s="59"/>
      <c r="I102" s="59">
        <f>C102</f>
        <v>500000</v>
      </c>
      <c r="J102" s="59"/>
      <c r="K102" s="59"/>
      <c r="L102" s="2">
        <f t="shared" si="5"/>
        <v>0</v>
      </c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>
      <c r="A103" s="353"/>
      <c r="B103" s="72" t="s">
        <v>928</v>
      </c>
      <c r="C103" s="93">
        <v>-75000</v>
      </c>
      <c r="D103" s="51">
        <f t="shared" si="4"/>
        <v>46542488</v>
      </c>
      <c r="E103" s="36" t="s">
        <v>578</v>
      </c>
      <c r="F103" s="62"/>
      <c r="G103" s="59"/>
      <c r="H103" s="59"/>
      <c r="I103" s="59"/>
      <c r="J103" s="59"/>
      <c r="K103" s="59">
        <f t="shared" si="3"/>
        <v>-75000</v>
      </c>
      <c r="L103" s="2">
        <f t="shared" si="5"/>
        <v>0</v>
      </c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>
      <c r="A104" s="353"/>
      <c r="B104" s="72" t="s">
        <v>929</v>
      </c>
      <c r="C104" s="93">
        <v>-2250000</v>
      </c>
      <c r="D104" s="51">
        <f t="shared" si="4"/>
        <v>44292488</v>
      </c>
      <c r="E104" s="36" t="s">
        <v>578</v>
      </c>
      <c r="F104" s="62"/>
      <c r="G104" s="59"/>
      <c r="H104" s="59"/>
      <c r="I104" s="59"/>
      <c r="J104" s="59"/>
      <c r="K104" s="59">
        <f t="shared" si="3"/>
        <v>-2250000</v>
      </c>
      <c r="L104" s="2">
        <f t="shared" si="5"/>
        <v>0</v>
      </c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>
      <c r="A105" s="354"/>
      <c r="B105" s="72" t="s">
        <v>18</v>
      </c>
      <c r="C105" s="93">
        <v>30000</v>
      </c>
      <c r="D105" s="51">
        <f t="shared" si="4"/>
        <v>44322488</v>
      </c>
      <c r="E105" s="36" t="s">
        <v>1</v>
      </c>
      <c r="F105" s="62"/>
      <c r="G105" s="59"/>
      <c r="H105" s="59">
        <f>C105</f>
        <v>30000</v>
      </c>
      <c r="I105" s="59"/>
      <c r="J105" s="59"/>
      <c r="K105" s="59"/>
      <c r="L105" s="2">
        <f t="shared" si="5"/>
        <v>0</v>
      </c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>
      <c r="B106" s="72" t="s">
        <v>930</v>
      </c>
      <c r="C106" s="93">
        <v>3655000</v>
      </c>
      <c r="D106" s="51">
        <f t="shared" si="4"/>
        <v>47977488</v>
      </c>
      <c r="E106" s="36" t="s">
        <v>585</v>
      </c>
      <c r="F106" s="62">
        <f>C106</f>
        <v>3655000</v>
      </c>
      <c r="G106" s="59"/>
      <c r="H106" s="59"/>
      <c r="I106" s="59"/>
      <c r="J106" s="59"/>
      <c r="K106" s="59"/>
      <c r="L106" s="2">
        <f t="shared" si="5"/>
        <v>0</v>
      </c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>
      <c r="A107" s="91"/>
      <c r="B107" s="72" t="s">
        <v>931</v>
      </c>
      <c r="C107" s="93">
        <v>-450000</v>
      </c>
      <c r="D107" s="51">
        <f t="shared" si="4"/>
        <v>47527488</v>
      </c>
      <c r="E107" s="36" t="s">
        <v>578</v>
      </c>
      <c r="F107" s="62"/>
      <c r="G107" s="59"/>
      <c r="H107" s="59"/>
      <c r="I107" s="59"/>
      <c r="J107" s="59"/>
      <c r="K107" s="59">
        <f t="shared" si="3"/>
        <v>-450000</v>
      </c>
      <c r="L107" s="2">
        <f t="shared" si="5"/>
        <v>0</v>
      </c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>
      <c r="B108" s="72" t="s">
        <v>932</v>
      </c>
      <c r="C108" s="93">
        <v>-35000</v>
      </c>
      <c r="D108" s="51">
        <f t="shared" si="4"/>
        <v>47492488</v>
      </c>
      <c r="E108" s="36" t="s">
        <v>578</v>
      </c>
      <c r="F108" s="62"/>
      <c r="G108" s="59"/>
      <c r="H108" s="59"/>
      <c r="I108" s="59"/>
      <c r="J108" s="59"/>
      <c r="K108" s="59">
        <f t="shared" si="3"/>
        <v>-35000</v>
      </c>
      <c r="L108" s="2">
        <f t="shared" si="5"/>
        <v>0</v>
      </c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>
      <c r="B109" s="72" t="s">
        <v>933</v>
      </c>
      <c r="C109" s="93">
        <v>-65000</v>
      </c>
      <c r="D109" s="51">
        <f t="shared" si="4"/>
        <v>47427488</v>
      </c>
      <c r="E109" s="36" t="s">
        <v>578</v>
      </c>
      <c r="F109" s="62"/>
      <c r="G109" s="59"/>
      <c r="H109" s="59"/>
      <c r="I109" s="59"/>
      <c r="J109" s="59"/>
      <c r="K109" s="59">
        <f t="shared" si="3"/>
        <v>-65000</v>
      </c>
      <c r="L109" s="2">
        <f t="shared" si="5"/>
        <v>0</v>
      </c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>
      <c r="A110" s="353"/>
      <c r="B110" s="72" t="s">
        <v>934</v>
      </c>
      <c r="C110" s="93">
        <v>20420000</v>
      </c>
      <c r="D110" s="51">
        <f t="shared" si="4"/>
        <v>67847488</v>
      </c>
      <c r="E110" s="36" t="s">
        <v>585</v>
      </c>
      <c r="F110" s="62">
        <f>C110</f>
        <v>20420000</v>
      </c>
      <c r="G110" s="59"/>
      <c r="H110" s="59"/>
      <c r="I110" s="59"/>
      <c r="J110" s="59"/>
      <c r="K110" s="59"/>
      <c r="L110" s="2">
        <f t="shared" si="5"/>
        <v>0</v>
      </c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>
      <c r="A111" s="354">
        <v>45420</v>
      </c>
      <c r="B111" s="72" t="s">
        <v>577</v>
      </c>
      <c r="C111" s="93">
        <v>-11000</v>
      </c>
      <c r="D111" s="51">
        <f t="shared" si="4"/>
        <v>67836488</v>
      </c>
      <c r="E111" s="36" t="s">
        <v>578</v>
      </c>
      <c r="F111" s="62"/>
      <c r="G111" s="59"/>
      <c r="H111" s="59"/>
      <c r="I111" s="59"/>
      <c r="J111" s="59"/>
      <c r="K111" s="59">
        <f t="shared" si="3"/>
        <v>-11000</v>
      </c>
      <c r="L111" s="2">
        <f t="shared" si="5"/>
        <v>0</v>
      </c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>
      <c r="A112" s="90"/>
      <c r="B112" s="72" t="s">
        <v>935</v>
      </c>
      <c r="C112" s="93">
        <v>-420000</v>
      </c>
      <c r="D112" s="51">
        <f t="shared" si="4"/>
        <v>67416488</v>
      </c>
      <c r="E112" s="36" t="s">
        <v>578</v>
      </c>
      <c r="F112" s="62"/>
      <c r="G112" s="59"/>
      <c r="H112" s="59"/>
      <c r="I112" s="59"/>
      <c r="J112" s="59"/>
      <c r="K112" s="59">
        <f t="shared" si="3"/>
        <v>-420000</v>
      </c>
      <c r="L112" s="2">
        <f t="shared" si="5"/>
        <v>0</v>
      </c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>
      <c r="A113" s="86"/>
      <c r="B113" s="72" t="s">
        <v>936</v>
      </c>
      <c r="C113" s="93">
        <v>-200000</v>
      </c>
      <c r="D113" s="51">
        <f t="shared" si="4"/>
        <v>67216488</v>
      </c>
      <c r="E113" s="36" t="s">
        <v>578</v>
      </c>
      <c r="F113" s="62"/>
      <c r="G113" s="59"/>
      <c r="H113" s="59"/>
      <c r="I113" s="59"/>
      <c r="J113" s="59"/>
      <c r="K113" s="59">
        <f t="shared" si="3"/>
        <v>-200000</v>
      </c>
      <c r="L113" s="2">
        <f t="shared" si="5"/>
        <v>0</v>
      </c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>
      <c r="A114" s="354"/>
      <c r="B114" s="72" t="s">
        <v>937</v>
      </c>
      <c r="C114" s="93">
        <v>1000000</v>
      </c>
      <c r="D114" s="51">
        <f t="shared" si="4"/>
        <v>68216488</v>
      </c>
      <c r="E114" s="36" t="s">
        <v>61</v>
      </c>
      <c r="F114" s="62"/>
      <c r="G114" s="59"/>
      <c r="H114" s="59"/>
      <c r="I114" s="59">
        <f>C114</f>
        <v>1000000</v>
      </c>
      <c r="J114" s="59"/>
      <c r="K114" s="59"/>
      <c r="L114" s="2">
        <f t="shared" si="5"/>
        <v>0</v>
      </c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>
      <c r="A115" s="354"/>
      <c r="B115" s="72" t="s">
        <v>938</v>
      </c>
      <c r="C115" s="93">
        <v>-65000</v>
      </c>
      <c r="D115" s="51">
        <f t="shared" si="4"/>
        <v>68151488</v>
      </c>
      <c r="E115" s="36" t="s">
        <v>578</v>
      </c>
      <c r="F115" s="62"/>
      <c r="G115" s="59"/>
      <c r="H115" s="59"/>
      <c r="I115" s="59"/>
      <c r="J115" s="59"/>
      <c r="K115" s="59">
        <f t="shared" si="3"/>
        <v>-65000</v>
      </c>
      <c r="L115" s="2">
        <f t="shared" si="5"/>
        <v>0</v>
      </c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>
      <c r="A116" s="90"/>
      <c r="B116" s="72" t="s">
        <v>939</v>
      </c>
      <c r="C116" s="93">
        <v>-2120000</v>
      </c>
      <c r="D116" s="51">
        <f t="shared" si="4"/>
        <v>66031488</v>
      </c>
      <c r="E116" s="36" t="s">
        <v>578</v>
      </c>
      <c r="F116" s="62"/>
      <c r="G116" s="59"/>
      <c r="H116" s="59"/>
      <c r="I116" s="59"/>
      <c r="J116" s="59"/>
      <c r="K116" s="59">
        <f t="shared" si="3"/>
        <v>-2120000</v>
      </c>
      <c r="L116" s="2">
        <f t="shared" si="5"/>
        <v>0</v>
      </c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>
      <c r="A117" s="86"/>
      <c r="B117" s="72" t="s">
        <v>591</v>
      </c>
      <c r="C117" s="93">
        <v>-2561500</v>
      </c>
      <c r="D117" s="51">
        <f t="shared" si="4"/>
        <v>63469988</v>
      </c>
      <c r="E117" s="36" t="s">
        <v>578</v>
      </c>
      <c r="F117" s="62"/>
      <c r="G117" s="59"/>
      <c r="H117" s="59"/>
      <c r="I117" s="59"/>
      <c r="J117" s="59"/>
      <c r="K117" s="59">
        <f t="shared" si="3"/>
        <v>-2561500</v>
      </c>
      <c r="L117" s="2">
        <f t="shared" si="5"/>
        <v>0</v>
      </c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>
      <c r="A118" s="86"/>
      <c r="B118" s="72" t="s">
        <v>592</v>
      </c>
      <c r="C118" s="93">
        <v>-25000</v>
      </c>
      <c r="D118" s="51">
        <f t="shared" si="4"/>
        <v>63444988</v>
      </c>
      <c r="E118" s="36" t="s">
        <v>578</v>
      </c>
      <c r="F118" s="62"/>
      <c r="G118" s="59"/>
      <c r="H118" s="59"/>
      <c r="I118" s="59"/>
      <c r="J118" s="59"/>
      <c r="K118" s="59">
        <f t="shared" si="3"/>
        <v>-25000</v>
      </c>
      <c r="L118" s="2">
        <f t="shared" si="5"/>
        <v>0</v>
      </c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>
      <c r="A119" s="354"/>
      <c r="B119" s="72" t="s">
        <v>940</v>
      </c>
      <c r="C119" s="93">
        <v>-16600</v>
      </c>
      <c r="D119" s="51">
        <f t="shared" si="4"/>
        <v>63428388</v>
      </c>
      <c r="E119" s="36" t="s">
        <v>578</v>
      </c>
      <c r="F119" s="62"/>
      <c r="G119" s="59"/>
      <c r="H119" s="59"/>
      <c r="I119" s="59"/>
      <c r="J119" s="59"/>
      <c r="K119" s="59">
        <f t="shared" ref="K119:K181" si="6">C119</f>
        <v>-16600</v>
      </c>
      <c r="L119" s="2">
        <f t="shared" si="5"/>
        <v>0</v>
      </c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>
      <c r="A120" s="91"/>
      <c r="B120" s="72" t="s">
        <v>941</v>
      </c>
      <c r="C120" s="93"/>
      <c r="D120" s="51">
        <f t="shared" si="4"/>
        <v>63428388</v>
      </c>
      <c r="E120" s="36" t="s">
        <v>61</v>
      </c>
      <c r="F120" s="62"/>
      <c r="G120" s="59"/>
      <c r="H120" s="59"/>
      <c r="I120" s="59"/>
      <c r="J120" s="59"/>
      <c r="K120" s="59">
        <f t="shared" si="6"/>
        <v>0</v>
      </c>
      <c r="L120" s="2">
        <f t="shared" si="5"/>
        <v>0</v>
      </c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>
      <c r="A121" s="86"/>
      <c r="B121" s="72" t="s">
        <v>942</v>
      </c>
      <c r="C121" s="93"/>
      <c r="D121" s="51">
        <f t="shared" si="4"/>
        <v>63428388</v>
      </c>
      <c r="E121" s="36" t="s">
        <v>61</v>
      </c>
      <c r="F121" s="62"/>
      <c r="G121" s="59"/>
      <c r="H121" s="59"/>
      <c r="I121" s="59"/>
      <c r="J121" s="59"/>
      <c r="K121" s="59">
        <f t="shared" si="6"/>
        <v>0</v>
      </c>
      <c r="L121" s="2">
        <f t="shared" si="5"/>
        <v>0</v>
      </c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>
      <c r="A122" s="91"/>
      <c r="B122" s="72" t="s">
        <v>884</v>
      </c>
      <c r="C122" s="93">
        <v>-2100000</v>
      </c>
      <c r="D122" s="51">
        <f t="shared" si="4"/>
        <v>61328388</v>
      </c>
      <c r="E122" s="36" t="s">
        <v>578</v>
      </c>
      <c r="F122" s="62"/>
      <c r="G122" s="59"/>
      <c r="H122" s="59"/>
      <c r="I122" s="59"/>
      <c r="J122" s="59"/>
      <c r="K122" s="59">
        <f t="shared" si="6"/>
        <v>-2100000</v>
      </c>
      <c r="L122" s="2">
        <f t="shared" si="5"/>
        <v>0</v>
      </c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>
      <c r="A123" s="90"/>
      <c r="B123" s="72" t="s">
        <v>589</v>
      </c>
      <c r="C123" s="93">
        <v>-602000</v>
      </c>
      <c r="D123" s="51">
        <f t="shared" si="4"/>
        <v>60726388</v>
      </c>
      <c r="E123" s="36" t="s">
        <v>578</v>
      </c>
      <c r="F123" s="62"/>
      <c r="G123" s="59"/>
      <c r="H123" s="59"/>
      <c r="I123" s="59"/>
      <c r="J123" s="59"/>
      <c r="K123" s="59">
        <f t="shared" si="6"/>
        <v>-602000</v>
      </c>
      <c r="L123" s="2">
        <f t="shared" si="5"/>
        <v>0</v>
      </c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>
      <c r="A124" s="354"/>
      <c r="B124" s="72" t="s">
        <v>943</v>
      </c>
      <c r="C124" s="93">
        <v>-160000</v>
      </c>
      <c r="D124" s="51">
        <f t="shared" si="4"/>
        <v>60566388</v>
      </c>
      <c r="E124" s="36" t="s">
        <v>578</v>
      </c>
      <c r="F124" s="62"/>
      <c r="G124" s="59"/>
      <c r="H124" s="59"/>
      <c r="I124" s="59"/>
      <c r="J124" s="59"/>
      <c r="K124" s="59">
        <f t="shared" si="6"/>
        <v>-160000</v>
      </c>
      <c r="L124" s="2">
        <f t="shared" si="5"/>
        <v>0</v>
      </c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>
      <c r="A125" s="90"/>
      <c r="B125" s="72" t="s">
        <v>944</v>
      </c>
      <c r="C125" s="93">
        <v>-100000</v>
      </c>
      <c r="D125" s="51">
        <f t="shared" si="4"/>
        <v>60466388</v>
      </c>
      <c r="E125" s="36" t="s">
        <v>578</v>
      </c>
      <c r="F125" s="62"/>
      <c r="G125" s="59"/>
      <c r="H125" s="59"/>
      <c r="I125" s="59"/>
      <c r="J125" s="59"/>
      <c r="K125" s="59">
        <f t="shared" si="6"/>
        <v>-100000</v>
      </c>
      <c r="L125" s="2">
        <f t="shared" si="5"/>
        <v>0</v>
      </c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>
      <c r="A126" s="86"/>
      <c r="B126" s="72" t="s">
        <v>945</v>
      </c>
      <c r="C126" s="93">
        <v>-800000</v>
      </c>
      <c r="D126" s="51">
        <f t="shared" si="4"/>
        <v>59666388</v>
      </c>
      <c r="E126" s="36" t="s">
        <v>578</v>
      </c>
      <c r="F126" s="62"/>
      <c r="G126" s="59"/>
      <c r="H126" s="59"/>
      <c r="I126" s="59"/>
      <c r="J126" s="59"/>
      <c r="K126" s="59">
        <f t="shared" si="6"/>
        <v>-800000</v>
      </c>
      <c r="L126" s="2">
        <f t="shared" si="5"/>
        <v>0</v>
      </c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>
      <c r="A127" s="354"/>
      <c r="B127" s="72" t="s">
        <v>946</v>
      </c>
      <c r="C127" s="93"/>
      <c r="D127" s="51">
        <f t="shared" si="4"/>
        <v>59666388</v>
      </c>
      <c r="E127" s="36" t="s">
        <v>61</v>
      </c>
      <c r="F127" s="62"/>
      <c r="G127" s="59"/>
      <c r="H127" s="59"/>
      <c r="I127" s="59"/>
      <c r="J127" s="59"/>
      <c r="K127" s="59">
        <f t="shared" si="6"/>
        <v>0</v>
      </c>
      <c r="L127" s="2">
        <f t="shared" si="5"/>
        <v>0</v>
      </c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>
      <c r="A128" s="86"/>
      <c r="B128" s="72" t="s">
        <v>947</v>
      </c>
      <c r="C128" s="93">
        <v>-40000000</v>
      </c>
      <c r="D128" s="51">
        <f t="shared" si="4"/>
        <v>19666388</v>
      </c>
      <c r="E128" s="36" t="s">
        <v>1106</v>
      </c>
      <c r="F128" s="62"/>
      <c r="G128" s="59"/>
      <c r="H128" s="59"/>
      <c r="I128" s="59"/>
      <c r="J128" s="59">
        <f>C128</f>
        <v>-40000000</v>
      </c>
      <c r="K128" s="59"/>
      <c r="L128" s="2">
        <f t="shared" si="5"/>
        <v>0</v>
      </c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>
      <c r="A129" s="354"/>
      <c r="B129" s="72" t="s">
        <v>948</v>
      </c>
      <c r="C129" s="93">
        <v>-77800</v>
      </c>
      <c r="D129" s="51">
        <f t="shared" si="4"/>
        <v>19588588</v>
      </c>
      <c r="E129" s="36" t="s">
        <v>578</v>
      </c>
      <c r="F129" s="62"/>
      <c r="G129" s="59"/>
      <c r="H129" s="59"/>
      <c r="I129" s="59"/>
      <c r="J129" s="59"/>
      <c r="K129" s="59">
        <f t="shared" si="6"/>
        <v>-77800</v>
      </c>
      <c r="L129" s="2">
        <f t="shared" si="5"/>
        <v>0</v>
      </c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>
      <c r="A130" s="91"/>
      <c r="B130" s="72" t="s">
        <v>596</v>
      </c>
      <c r="C130" s="93">
        <v>-500000</v>
      </c>
      <c r="D130" s="51">
        <f t="shared" ref="D130:D193" si="7">SUM(D129,C130)</f>
        <v>19088588</v>
      </c>
      <c r="E130" s="36" t="s">
        <v>578</v>
      </c>
      <c r="F130" s="62"/>
      <c r="G130" s="59"/>
      <c r="H130" s="59"/>
      <c r="I130" s="59"/>
      <c r="J130" s="59"/>
      <c r="K130" s="59">
        <f t="shared" si="6"/>
        <v>-500000</v>
      </c>
      <c r="L130" s="2">
        <f t="shared" si="5"/>
        <v>0</v>
      </c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>
      <c r="A131" s="354"/>
      <c r="B131" s="72" t="s">
        <v>949</v>
      </c>
      <c r="C131" s="93">
        <v>-75000</v>
      </c>
      <c r="D131" s="51">
        <f t="shared" si="7"/>
        <v>19013588</v>
      </c>
      <c r="E131" s="36" t="s">
        <v>578</v>
      </c>
      <c r="F131" s="62"/>
      <c r="G131" s="59"/>
      <c r="H131" s="59"/>
      <c r="I131" s="59"/>
      <c r="J131" s="59"/>
      <c r="K131" s="59">
        <f t="shared" si="6"/>
        <v>-75000</v>
      </c>
      <c r="L131" s="2">
        <f t="shared" ref="L131:L194" si="8">C131-F131-G131-H131-I131-J131-K131</f>
        <v>0</v>
      </c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>
      <c r="A132" s="90"/>
      <c r="B132" s="72" t="s">
        <v>950</v>
      </c>
      <c r="C132" s="93">
        <v>-75000</v>
      </c>
      <c r="D132" s="51">
        <f t="shared" si="7"/>
        <v>18938588</v>
      </c>
      <c r="E132" s="36" t="s">
        <v>578</v>
      </c>
      <c r="F132" s="62"/>
      <c r="G132" s="59"/>
      <c r="H132" s="59"/>
      <c r="I132" s="59"/>
      <c r="J132" s="59"/>
      <c r="K132" s="59">
        <f t="shared" si="6"/>
        <v>-75000</v>
      </c>
      <c r="L132" s="2">
        <f t="shared" si="8"/>
        <v>0</v>
      </c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>
      <c r="A133" s="86"/>
      <c r="B133" s="72" t="s">
        <v>591</v>
      </c>
      <c r="C133" s="93">
        <v>-4618000</v>
      </c>
      <c r="D133" s="51">
        <f t="shared" si="7"/>
        <v>14320588</v>
      </c>
      <c r="E133" s="36" t="s">
        <v>578</v>
      </c>
      <c r="F133" s="62"/>
      <c r="G133" s="59"/>
      <c r="H133" s="59"/>
      <c r="I133" s="59"/>
      <c r="J133" s="59"/>
      <c r="K133" s="59">
        <f t="shared" si="6"/>
        <v>-4618000</v>
      </c>
      <c r="L133" s="2">
        <f t="shared" si="8"/>
        <v>0</v>
      </c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>
      <c r="A134" s="354"/>
      <c r="B134" s="72" t="s">
        <v>18</v>
      </c>
      <c r="C134" s="93">
        <v>30000</v>
      </c>
      <c r="D134" s="51">
        <f t="shared" si="7"/>
        <v>14350588</v>
      </c>
      <c r="E134" s="36" t="s">
        <v>1</v>
      </c>
      <c r="F134" s="62"/>
      <c r="G134" s="59"/>
      <c r="H134" s="59">
        <f>C134</f>
        <v>30000</v>
      </c>
      <c r="I134" s="59"/>
      <c r="J134" s="59"/>
      <c r="K134" s="59"/>
      <c r="L134" s="2">
        <f t="shared" si="8"/>
        <v>0</v>
      </c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>
      <c r="A135" s="354"/>
      <c r="B135" s="72" t="s">
        <v>951</v>
      </c>
      <c r="C135" s="93">
        <v>-402500</v>
      </c>
      <c r="D135" s="51">
        <f t="shared" si="7"/>
        <v>13948088</v>
      </c>
      <c r="E135" s="36" t="s">
        <v>578</v>
      </c>
      <c r="F135" s="62"/>
      <c r="G135" s="59"/>
      <c r="H135" s="59"/>
      <c r="I135" s="59"/>
      <c r="J135" s="59"/>
      <c r="K135" s="59">
        <f t="shared" si="6"/>
        <v>-402500</v>
      </c>
      <c r="L135" s="2">
        <f t="shared" si="8"/>
        <v>0</v>
      </c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>
      <c r="A136" s="354"/>
      <c r="B136" s="72" t="s">
        <v>952</v>
      </c>
      <c r="C136" s="93">
        <v>-80000</v>
      </c>
      <c r="D136" s="51">
        <f t="shared" si="7"/>
        <v>13868088</v>
      </c>
      <c r="E136" s="36" t="s">
        <v>578</v>
      </c>
      <c r="F136" s="62"/>
      <c r="G136" s="59"/>
      <c r="H136" s="59"/>
      <c r="I136" s="59"/>
      <c r="J136" s="59"/>
      <c r="K136" s="59">
        <f t="shared" si="6"/>
        <v>-80000</v>
      </c>
      <c r="L136" s="2">
        <f t="shared" si="8"/>
        <v>0</v>
      </c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>
      <c r="A137" s="86"/>
      <c r="B137" s="72" t="s">
        <v>953</v>
      </c>
      <c r="C137" s="93">
        <v>-10000</v>
      </c>
      <c r="D137" s="51">
        <f t="shared" si="7"/>
        <v>13858088</v>
      </c>
      <c r="E137" s="36" t="s">
        <v>578</v>
      </c>
      <c r="F137" s="62"/>
      <c r="G137" s="59"/>
      <c r="H137" s="59"/>
      <c r="I137" s="59"/>
      <c r="J137" s="59"/>
      <c r="K137" s="59">
        <f t="shared" si="6"/>
        <v>-10000</v>
      </c>
      <c r="L137" s="2">
        <f t="shared" si="8"/>
        <v>0</v>
      </c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>
      <c r="A138" s="354"/>
      <c r="B138" s="72" t="s">
        <v>954</v>
      </c>
      <c r="C138" s="93">
        <v>-65000</v>
      </c>
      <c r="D138" s="51">
        <f t="shared" si="7"/>
        <v>13793088</v>
      </c>
      <c r="E138" s="36" t="s">
        <v>578</v>
      </c>
      <c r="F138" s="62"/>
      <c r="G138" s="59"/>
      <c r="H138" s="59"/>
      <c r="I138" s="59"/>
      <c r="J138" s="59"/>
      <c r="K138" s="59">
        <f t="shared" si="6"/>
        <v>-65000</v>
      </c>
      <c r="L138" s="2">
        <f t="shared" si="8"/>
        <v>0</v>
      </c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>
      <c r="A139" s="354">
        <v>45421</v>
      </c>
      <c r="B139" s="72" t="s">
        <v>955</v>
      </c>
      <c r="C139" s="93">
        <v>-140000</v>
      </c>
      <c r="D139" s="51">
        <f t="shared" si="7"/>
        <v>13653088</v>
      </c>
      <c r="E139" s="36" t="s">
        <v>578</v>
      </c>
      <c r="F139" s="62"/>
      <c r="G139" s="59"/>
      <c r="H139" s="59"/>
      <c r="I139" s="59"/>
      <c r="J139" s="59"/>
      <c r="K139" s="59">
        <f t="shared" si="6"/>
        <v>-140000</v>
      </c>
      <c r="L139" s="2">
        <f t="shared" si="8"/>
        <v>0</v>
      </c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>
      <c r="B140" s="72" t="s">
        <v>956</v>
      </c>
      <c r="C140" s="93">
        <v>-418000</v>
      </c>
      <c r="D140" s="51">
        <f t="shared" si="7"/>
        <v>13235088</v>
      </c>
      <c r="E140" s="36" t="s">
        <v>578</v>
      </c>
      <c r="F140" s="62"/>
      <c r="G140" s="59"/>
      <c r="H140" s="59"/>
      <c r="I140" s="59"/>
      <c r="J140" s="59"/>
      <c r="K140" s="59">
        <f t="shared" si="6"/>
        <v>-418000</v>
      </c>
      <c r="L140" s="2">
        <f t="shared" si="8"/>
        <v>0</v>
      </c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>
      <c r="A141" s="90"/>
      <c r="B141" s="72" t="s">
        <v>957</v>
      </c>
      <c r="C141" s="93">
        <v>-80000</v>
      </c>
      <c r="D141" s="51">
        <f t="shared" si="7"/>
        <v>13155088</v>
      </c>
      <c r="E141" s="36" t="s">
        <v>578</v>
      </c>
      <c r="F141" s="62"/>
      <c r="G141" s="59"/>
      <c r="H141" s="59"/>
      <c r="I141" s="59"/>
      <c r="J141" s="59"/>
      <c r="K141" s="59">
        <f t="shared" si="6"/>
        <v>-80000</v>
      </c>
      <c r="L141" s="2">
        <f t="shared" si="8"/>
        <v>0</v>
      </c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>
      <c r="A142" s="86"/>
      <c r="B142" s="72" t="s">
        <v>958</v>
      </c>
      <c r="C142" s="93">
        <v>-220000</v>
      </c>
      <c r="D142" s="51">
        <f t="shared" si="7"/>
        <v>12935088</v>
      </c>
      <c r="E142" s="36" t="s">
        <v>578</v>
      </c>
      <c r="F142" s="62"/>
      <c r="G142" s="59"/>
      <c r="H142" s="59"/>
      <c r="I142" s="59"/>
      <c r="J142" s="59"/>
      <c r="K142" s="59">
        <f t="shared" si="6"/>
        <v>-220000</v>
      </c>
      <c r="L142" s="2">
        <f t="shared" si="8"/>
        <v>0</v>
      </c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>
      <c r="A143" s="354"/>
      <c r="B143" s="72" t="s">
        <v>577</v>
      </c>
      <c r="C143" s="93">
        <v>-11000</v>
      </c>
      <c r="D143" s="51">
        <f t="shared" si="7"/>
        <v>12924088</v>
      </c>
      <c r="E143" s="36" t="s">
        <v>578</v>
      </c>
      <c r="F143" s="62"/>
      <c r="G143" s="59"/>
      <c r="H143" s="59"/>
      <c r="I143" s="59"/>
      <c r="J143" s="59"/>
      <c r="K143" s="59">
        <f t="shared" si="6"/>
        <v>-11000</v>
      </c>
      <c r="L143" s="2">
        <f t="shared" si="8"/>
        <v>0</v>
      </c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>
      <c r="A144" s="354"/>
      <c r="B144" s="72" t="s">
        <v>959</v>
      </c>
      <c r="C144" s="93">
        <v>-665000</v>
      </c>
      <c r="D144" s="51">
        <f t="shared" si="7"/>
        <v>12259088</v>
      </c>
      <c r="E144" s="36" t="s">
        <v>578</v>
      </c>
      <c r="F144" s="62"/>
      <c r="G144" s="59"/>
      <c r="H144" s="59"/>
      <c r="I144" s="59"/>
      <c r="J144" s="59"/>
      <c r="K144" s="59">
        <f t="shared" si="6"/>
        <v>-665000</v>
      </c>
      <c r="L144" s="2">
        <f t="shared" si="8"/>
        <v>0</v>
      </c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>
      <c r="A145" s="90"/>
      <c r="B145" s="72" t="s">
        <v>960</v>
      </c>
      <c r="C145" s="93">
        <v>-700000</v>
      </c>
      <c r="D145" s="51">
        <f t="shared" si="7"/>
        <v>11559088</v>
      </c>
      <c r="E145" s="36" t="s">
        <v>578</v>
      </c>
      <c r="F145" s="62"/>
      <c r="G145" s="59"/>
      <c r="H145" s="59"/>
      <c r="I145" s="59"/>
      <c r="J145" s="59"/>
      <c r="K145" s="59">
        <f t="shared" si="6"/>
        <v>-700000</v>
      </c>
      <c r="L145" s="2">
        <f t="shared" si="8"/>
        <v>0</v>
      </c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>
      <c r="A146" s="354"/>
      <c r="B146" s="72" t="s">
        <v>961</v>
      </c>
      <c r="C146" s="93">
        <v>-97500</v>
      </c>
      <c r="D146" s="51">
        <f t="shared" si="7"/>
        <v>11461588</v>
      </c>
      <c r="E146" s="36" t="s">
        <v>578</v>
      </c>
      <c r="F146" s="62"/>
      <c r="G146" s="59"/>
      <c r="H146" s="59"/>
      <c r="I146" s="59"/>
      <c r="J146" s="59"/>
      <c r="K146" s="59">
        <f t="shared" si="6"/>
        <v>-97500</v>
      </c>
      <c r="L146" s="2">
        <f t="shared" si="8"/>
        <v>0</v>
      </c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>
      <c r="A147" s="354"/>
      <c r="B147" s="72" t="s">
        <v>962</v>
      </c>
      <c r="C147" s="93">
        <v>-75000</v>
      </c>
      <c r="D147" s="51">
        <f t="shared" si="7"/>
        <v>11386588</v>
      </c>
      <c r="E147" s="36" t="s">
        <v>578</v>
      </c>
      <c r="F147" s="62"/>
      <c r="G147" s="59"/>
      <c r="H147" s="59"/>
      <c r="I147" s="59"/>
      <c r="J147" s="59"/>
      <c r="K147" s="59">
        <f t="shared" si="6"/>
        <v>-75000</v>
      </c>
      <c r="L147" s="2">
        <f t="shared" si="8"/>
        <v>0</v>
      </c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>
      <c r="A148" s="91"/>
      <c r="B148" s="72" t="s">
        <v>591</v>
      </c>
      <c r="C148" s="93">
        <v>-1974500</v>
      </c>
      <c r="D148" s="51">
        <f t="shared" si="7"/>
        <v>9412088</v>
      </c>
      <c r="E148" s="36" t="s">
        <v>578</v>
      </c>
      <c r="F148" s="62"/>
      <c r="G148" s="59"/>
      <c r="H148" s="59"/>
      <c r="I148" s="59"/>
      <c r="J148" s="59"/>
      <c r="K148" s="59">
        <f t="shared" si="6"/>
        <v>-1974500</v>
      </c>
      <c r="L148" s="2">
        <f t="shared" si="8"/>
        <v>0</v>
      </c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>
      <c r="A149" s="90"/>
      <c r="B149" s="72" t="s">
        <v>581</v>
      </c>
      <c r="C149" s="93">
        <v>-10000</v>
      </c>
      <c r="D149" s="51">
        <f t="shared" si="7"/>
        <v>9402088</v>
      </c>
      <c r="E149" s="36" t="s">
        <v>578</v>
      </c>
      <c r="F149" s="93"/>
      <c r="G149" s="59"/>
      <c r="H149" s="59"/>
      <c r="I149" s="59"/>
      <c r="J149" s="59"/>
      <c r="K149" s="59">
        <f t="shared" si="6"/>
        <v>-10000</v>
      </c>
      <c r="L149" s="2">
        <f t="shared" si="8"/>
        <v>0</v>
      </c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>
      <c r="A150" s="86"/>
      <c r="B150" s="72" t="s">
        <v>963</v>
      </c>
      <c r="C150" s="93"/>
      <c r="D150" s="51">
        <f t="shared" si="7"/>
        <v>9402088</v>
      </c>
      <c r="E150" s="36" t="s">
        <v>61</v>
      </c>
      <c r="F150" s="62"/>
      <c r="G150" s="59"/>
      <c r="H150" s="59"/>
      <c r="I150" s="59"/>
      <c r="J150" s="59"/>
      <c r="K150" s="59">
        <f t="shared" si="6"/>
        <v>0</v>
      </c>
      <c r="L150" s="2">
        <f t="shared" si="8"/>
        <v>0</v>
      </c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>
      <c r="A151" s="354"/>
      <c r="B151" s="72" t="s">
        <v>964</v>
      </c>
      <c r="C151" s="93"/>
      <c r="D151" s="51">
        <f t="shared" si="7"/>
        <v>9402088</v>
      </c>
      <c r="E151" s="36" t="s">
        <v>61</v>
      </c>
      <c r="F151" s="62"/>
      <c r="G151" s="59"/>
      <c r="H151" s="59"/>
      <c r="I151" s="59"/>
      <c r="J151" s="59"/>
      <c r="K151" s="59">
        <f t="shared" si="6"/>
        <v>0</v>
      </c>
      <c r="L151" s="2">
        <f t="shared" si="8"/>
        <v>0</v>
      </c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>
      <c r="A152" s="354"/>
      <c r="B152" s="72" t="s">
        <v>18</v>
      </c>
      <c r="C152" s="93">
        <v>250000</v>
      </c>
      <c r="D152" s="51">
        <f t="shared" si="7"/>
        <v>9652088</v>
      </c>
      <c r="E152" s="36" t="s">
        <v>1</v>
      </c>
      <c r="F152" s="62"/>
      <c r="G152" s="59"/>
      <c r="H152" s="59">
        <f>C152</f>
        <v>250000</v>
      </c>
      <c r="I152" s="59"/>
      <c r="J152" s="59"/>
      <c r="K152" s="59"/>
      <c r="L152" s="2">
        <f t="shared" si="8"/>
        <v>0</v>
      </c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>
      <c r="A153" s="354"/>
      <c r="B153" s="72" t="s">
        <v>600</v>
      </c>
      <c r="C153" s="93">
        <v>-71800</v>
      </c>
      <c r="D153" s="51">
        <f t="shared" si="7"/>
        <v>9580288</v>
      </c>
      <c r="E153" s="36" t="s">
        <v>578</v>
      </c>
      <c r="F153" s="62"/>
      <c r="G153" s="59"/>
      <c r="H153" s="59"/>
      <c r="I153" s="59"/>
      <c r="J153" s="59"/>
      <c r="K153" s="59">
        <f t="shared" si="6"/>
        <v>-71800</v>
      </c>
      <c r="L153" s="2">
        <f t="shared" si="8"/>
        <v>0</v>
      </c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>
      <c r="A154" s="86"/>
      <c r="B154" s="72" t="s">
        <v>965</v>
      </c>
      <c r="C154" s="93">
        <v>50380000</v>
      </c>
      <c r="D154" s="51">
        <f t="shared" si="7"/>
        <v>59960288</v>
      </c>
      <c r="E154" s="36" t="s">
        <v>585</v>
      </c>
      <c r="F154" s="62">
        <f>C154</f>
        <v>50380000</v>
      </c>
      <c r="G154" s="59"/>
      <c r="H154" s="59"/>
      <c r="I154" s="59"/>
      <c r="J154" s="59"/>
      <c r="K154" s="59"/>
      <c r="L154" s="2">
        <f t="shared" si="8"/>
        <v>0</v>
      </c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>
      <c r="A155" s="86"/>
      <c r="B155" s="72" t="s">
        <v>966</v>
      </c>
      <c r="C155" s="93"/>
      <c r="D155" s="51">
        <f t="shared" si="7"/>
        <v>59960288</v>
      </c>
      <c r="E155" s="36" t="s">
        <v>61</v>
      </c>
      <c r="F155" s="62"/>
      <c r="G155" s="59"/>
      <c r="H155" s="59"/>
      <c r="I155" s="59"/>
      <c r="J155" s="59"/>
      <c r="K155" s="59">
        <f t="shared" si="6"/>
        <v>0</v>
      </c>
      <c r="L155" s="2">
        <f t="shared" si="8"/>
        <v>0</v>
      </c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>
      <c r="A156" s="354">
        <v>45422</v>
      </c>
      <c r="B156" s="72" t="s">
        <v>577</v>
      </c>
      <c r="C156" s="93">
        <v>-11000</v>
      </c>
      <c r="D156" s="51">
        <f t="shared" si="7"/>
        <v>59949288</v>
      </c>
      <c r="E156" s="36" t="s">
        <v>578</v>
      </c>
      <c r="F156" s="62"/>
      <c r="G156" s="59"/>
      <c r="H156" s="59"/>
      <c r="I156" s="59"/>
      <c r="J156" s="59"/>
      <c r="K156" s="59">
        <f t="shared" si="6"/>
        <v>-11000</v>
      </c>
      <c r="L156" s="2">
        <f t="shared" si="8"/>
        <v>0</v>
      </c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>
      <c r="B157" s="72" t="s">
        <v>967</v>
      </c>
      <c r="C157" s="93">
        <v>-100000</v>
      </c>
      <c r="D157" s="51">
        <f t="shared" si="7"/>
        <v>59849288</v>
      </c>
      <c r="E157" s="36" t="s">
        <v>578</v>
      </c>
      <c r="F157" s="62"/>
      <c r="G157" s="59"/>
      <c r="H157" s="59"/>
      <c r="I157" s="59"/>
      <c r="J157" s="59"/>
      <c r="K157" s="59">
        <f t="shared" si="6"/>
        <v>-100000</v>
      </c>
      <c r="L157" s="2">
        <f t="shared" si="8"/>
        <v>0</v>
      </c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>
      <c r="A158" s="353"/>
      <c r="B158" s="72" t="s">
        <v>591</v>
      </c>
      <c r="C158" s="93">
        <v>-652000</v>
      </c>
      <c r="D158" s="51">
        <f t="shared" si="7"/>
        <v>59197288</v>
      </c>
      <c r="E158" s="36" t="s">
        <v>578</v>
      </c>
      <c r="F158" s="62"/>
      <c r="G158" s="59"/>
      <c r="H158" s="59"/>
      <c r="I158" s="59"/>
      <c r="J158" s="59"/>
      <c r="K158" s="59">
        <f t="shared" si="6"/>
        <v>-652000</v>
      </c>
      <c r="L158" s="2">
        <f t="shared" si="8"/>
        <v>0</v>
      </c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>
      <c r="A159" s="353"/>
      <c r="B159" s="72" t="s">
        <v>968</v>
      </c>
      <c r="C159" s="93">
        <v>3000000</v>
      </c>
      <c r="D159" s="51">
        <f t="shared" si="7"/>
        <v>62197288</v>
      </c>
      <c r="E159" s="36" t="s">
        <v>61</v>
      </c>
      <c r="F159" s="62"/>
      <c r="G159" s="59"/>
      <c r="H159" s="59"/>
      <c r="I159" s="59">
        <f>C159</f>
        <v>3000000</v>
      </c>
      <c r="J159" s="59"/>
      <c r="K159" s="59"/>
      <c r="L159" s="2">
        <f t="shared" si="8"/>
        <v>0</v>
      </c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>
      <c r="A160" s="353"/>
      <c r="B160" s="72" t="s">
        <v>969</v>
      </c>
      <c r="C160" s="93">
        <v>-65000</v>
      </c>
      <c r="D160" s="51">
        <f t="shared" si="7"/>
        <v>62132288</v>
      </c>
      <c r="E160" s="36" t="s">
        <v>578</v>
      </c>
      <c r="F160" s="62"/>
      <c r="G160" s="59"/>
      <c r="H160" s="59"/>
      <c r="I160" s="59"/>
      <c r="J160" s="59"/>
      <c r="K160" s="59">
        <f t="shared" si="6"/>
        <v>-65000</v>
      </c>
      <c r="L160" s="2">
        <f t="shared" si="8"/>
        <v>0</v>
      </c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>
      <c r="A161" s="354"/>
      <c r="B161" s="72" t="s">
        <v>582</v>
      </c>
      <c r="C161" s="93">
        <v>-384000</v>
      </c>
      <c r="D161" s="51">
        <f t="shared" si="7"/>
        <v>61748288</v>
      </c>
      <c r="E161" s="36" t="s">
        <v>578</v>
      </c>
      <c r="F161" s="62"/>
      <c r="G161" s="59"/>
      <c r="H161" s="59"/>
      <c r="I161" s="59"/>
      <c r="J161" s="59"/>
      <c r="K161" s="59">
        <f t="shared" si="6"/>
        <v>-384000</v>
      </c>
      <c r="L161" s="2">
        <f t="shared" si="8"/>
        <v>0</v>
      </c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>
      <c r="B162" s="72" t="s">
        <v>970</v>
      </c>
      <c r="C162" s="93">
        <v>-2578500</v>
      </c>
      <c r="D162" s="51">
        <f t="shared" si="7"/>
        <v>59169788</v>
      </c>
      <c r="E162" s="36" t="s">
        <v>578</v>
      </c>
      <c r="F162" s="62"/>
      <c r="G162" s="93"/>
      <c r="H162" s="59"/>
      <c r="I162" s="59"/>
      <c r="J162" s="59"/>
      <c r="K162" s="59">
        <f t="shared" si="6"/>
        <v>-2578500</v>
      </c>
      <c r="L162" s="2">
        <f t="shared" si="8"/>
        <v>0</v>
      </c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>
      <c r="A163" s="91"/>
      <c r="B163" s="72" t="s">
        <v>971</v>
      </c>
      <c r="C163" s="93">
        <v>-428000</v>
      </c>
      <c r="D163" s="51">
        <f t="shared" si="7"/>
        <v>58741788</v>
      </c>
      <c r="E163" s="36" t="s">
        <v>578</v>
      </c>
      <c r="F163" s="62"/>
      <c r="G163" s="59"/>
      <c r="H163" s="59"/>
      <c r="I163" s="59"/>
      <c r="J163" s="59"/>
      <c r="K163" s="59">
        <f t="shared" si="6"/>
        <v>-428000</v>
      </c>
      <c r="L163" s="2">
        <f t="shared" si="8"/>
        <v>0</v>
      </c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>
      <c r="B164" s="72" t="s">
        <v>588</v>
      </c>
      <c r="C164" s="93">
        <v>-100000</v>
      </c>
      <c r="D164" s="51">
        <f t="shared" si="7"/>
        <v>58641788</v>
      </c>
      <c r="E164" s="36" t="s">
        <v>578</v>
      </c>
      <c r="F164" s="62"/>
      <c r="G164" s="59"/>
      <c r="H164" s="59"/>
      <c r="I164" s="59"/>
      <c r="J164" s="59"/>
      <c r="K164" s="59">
        <f t="shared" si="6"/>
        <v>-100000</v>
      </c>
      <c r="L164" s="2">
        <f t="shared" si="8"/>
        <v>0</v>
      </c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>
      <c r="A165" s="354"/>
      <c r="B165" s="72" t="s">
        <v>972</v>
      </c>
      <c r="C165" s="93">
        <v>200000</v>
      </c>
      <c r="D165" s="51">
        <f t="shared" si="7"/>
        <v>58841788</v>
      </c>
      <c r="E165" s="36" t="s">
        <v>59</v>
      </c>
      <c r="F165" s="62"/>
      <c r="G165" s="59">
        <f>C165</f>
        <v>200000</v>
      </c>
      <c r="H165" s="59"/>
      <c r="I165" s="59"/>
      <c r="J165" s="59"/>
      <c r="K165" s="59"/>
      <c r="L165" s="2">
        <f t="shared" si="8"/>
        <v>0</v>
      </c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>
      <c r="A166" s="6"/>
      <c r="B166" s="72" t="s">
        <v>973</v>
      </c>
      <c r="C166" s="93">
        <v>-200000</v>
      </c>
      <c r="D166" s="51">
        <f t="shared" si="7"/>
        <v>58641788</v>
      </c>
      <c r="E166" s="36" t="s">
        <v>578</v>
      </c>
      <c r="F166" s="62"/>
      <c r="G166" s="59"/>
      <c r="H166" s="59"/>
      <c r="I166" s="59"/>
      <c r="J166" s="59"/>
      <c r="K166" s="59">
        <f t="shared" si="6"/>
        <v>-200000</v>
      </c>
      <c r="L166" s="2">
        <f t="shared" si="8"/>
        <v>0</v>
      </c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>
      <c r="A167" s="354"/>
      <c r="B167" s="72" t="s">
        <v>974</v>
      </c>
      <c r="C167" s="93"/>
      <c r="D167" s="51">
        <f t="shared" si="7"/>
        <v>58641788</v>
      </c>
      <c r="E167" s="36" t="s">
        <v>59</v>
      </c>
      <c r="F167" s="62"/>
      <c r="G167" s="59"/>
      <c r="H167" s="59"/>
      <c r="I167" s="59"/>
      <c r="J167" s="59"/>
      <c r="K167" s="59">
        <f t="shared" si="6"/>
        <v>0</v>
      </c>
      <c r="L167" s="2">
        <f t="shared" si="8"/>
        <v>0</v>
      </c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>
      <c r="B168" s="72" t="s">
        <v>975</v>
      </c>
      <c r="C168" s="93">
        <v>-340000</v>
      </c>
      <c r="D168" s="51">
        <f t="shared" si="7"/>
        <v>58301788</v>
      </c>
      <c r="E168" s="36" t="s">
        <v>578</v>
      </c>
      <c r="F168" s="62"/>
      <c r="G168" s="59"/>
      <c r="H168" s="59"/>
      <c r="I168" s="59"/>
      <c r="J168" s="59"/>
      <c r="K168" s="59">
        <f t="shared" si="6"/>
        <v>-340000</v>
      </c>
      <c r="L168" s="2">
        <f t="shared" si="8"/>
        <v>0</v>
      </c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>
      <c r="A169" s="354"/>
      <c r="B169" s="72" t="s">
        <v>976</v>
      </c>
      <c r="C169" s="93"/>
      <c r="D169" s="51">
        <f t="shared" si="7"/>
        <v>58301788</v>
      </c>
      <c r="E169" s="36" t="s">
        <v>59</v>
      </c>
      <c r="F169" s="62"/>
      <c r="G169" s="59"/>
      <c r="H169" s="59"/>
      <c r="I169" s="59"/>
      <c r="J169" s="59"/>
      <c r="K169" s="59">
        <f t="shared" si="6"/>
        <v>0</v>
      </c>
      <c r="L169" s="2">
        <f t="shared" si="8"/>
        <v>0</v>
      </c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>
      <c r="A170" s="354"/>
      <c r="B170" s="72" t="s">
        <v>977</v>
      </c>
      <c r="C170" s="93">
        <v>-80000</v>
      </c>
      <c r="D170" s="51">
        <f t="shared" si="7"/>
        <v>58221788</v>
      </c>
      <c r="E170" s="36" t="s">
        <v>578</v>
      </c>
      <c r="F170" s="62"/>
      <c r="G170" s="59"/>
      <c r="H170" s="59"/>
      <c r="I170" s="59"/>
      <c r="J170" s="59"/>
      <c r="K170" s="59">
        <f t="shared" si="6"/>
        <v>-80000</v>
      </c>
      <c r="L170" s="2">
        <f t="shared" si="8"/>
        <v>0</v>
      </c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>
      <c r="A171" s="354"/>
      <c r="B171" s="72" t="s">
        <v>18</v>
      </c>
      <c r="C171" s="93">
        <v>240000</v>
      </c>
      <c r="D171" s="51">
        <f t="shared" si="7"/>
        <v>58461788</v>
      </c>
      <c r="E171" s="36" t="s">
        <v>1</v>
      </c>
      <c r="F171" s="62"/>
      <c r="G171" s="59"/>
      <c r="H171" s="59">
        <f>C171</f>
        <v>240000</v>
      </c>
      <c r="I171" s="59"/>
      <c r="J171" s="59"/>
      <c r="K171" s="59"/>
      <c r="L171" s="2">
        <f t="shared" si="8"/>
        <v>0</v>
      </c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>
      <c r="B172" s="72" t="s">
        <v>978</v>
      </c>
      <c r="C172" s="93"/>
      <c r="D172" s="51">
        <f t="shared" si="7"/>
        <v>58461788</v>
      </c>
      <c r="E172" s="36" t="s">
        <v>59</v>
      </c>
      <c r="F172" s="62"/>
      <c r="G172" s="59"/>
      <c r="H172" s="59"/>
      <c r="I172" s="59"/>
      <c r="J172" s="59"/>
      <c r="K172" s="59">
        <f t="shared" si="6"/>
        <v>0</v>
      </c>
      <c r="L172" s="2">
        <f t="shared" si="8"/>
        <v>0</v>
      </c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>
      <c r="A173" s="353"/>
      <c r="B173" s="72" t="s">
        <v>979</v>
      </c>
      <c r="C173" s="93">
        <v>-65000</v>
      </c>
      <c r="D173" s="51">
        <f t="shared" si="7"/>
        <v>58396788</v>
      </c>
      <c r="E173" s="36" t="s">
        <v>578</v>
      </c>
      <c r="F173" s="62"/>
      <c r="G173" s="59"/>
      <c r="H173" s="59"/>
      <c r="I173" s="59"/>
      <c r="J173" s="59"/>
      <c r="K173" s="59">
        <f t="shared" si="6"/>
        <v>-65000</v>
      </c>
      <c r="L173" s="2">
        <f t="shared" si="8"/>
        <v>0</v>
      </c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>
      <c r="A174" s="354"/>
      <c r="B174" s="72" t="s">
        <v>600</v>
      </c>
      <c r="C174" s="93">
        <v>-47950</v>
      </c>
      <c r="D174" s="51">
        <f t="shared" si="7"/>
        <v>58348838</v>
      </c>
      <c r="E174" s="36" t="s">
        <v>578</v>
      </c>
      <c r="F174" s="62"/>
      <c r="G174" s="59"/>
      <c r="H174" s="59"/>
      <c r="I174" s="59"/>
      <c r="J174" s="59"/>
      <c r="K174" s="59">
        <f t="shared" si="6"/>
        <v>-47950</v>
      </c>
      <c r="L174" s="2">
        <f t="shared" si="8"/>
        <v>0</v>
      </c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>
      <c r="B175" s="72" t="s">
        <v>980</v>
      </c>
      <c r="C175" s="93">
        <v>-12000</v>
      </c>
      <c r="D175" s="51">
        <f t="shared" si="7"/>
        <v>58336838</v>
      </c>
      <c r="E175" s="36" t="s">
        <v>578</v>
      </c>
      <c r="F175" s="62"/>
      <c r="G175" s="59"/>
      <c r="H175" s="59"/>
      <c r="I175" s="59"/>
      <c r="J175" s="59"/>
      <c r="K175" s="59">
        <f t="shared" si="6"/>
        <v>-12000</v>
      </c>
      <c r="L175" s="2">
        <f t="shared" si="8"/>
        <v>0</v>
      </c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>
      <c r="A176" s="353"/>
      <c r="B176" s="72" t="s">
        <v>981</v>
      </c>
      <c r="C176" s="93">
        <v>6535000</v>
      </c>
      <c r="D176" s="51">
        <f t="shared" si="7"/>
        <v>64871838</v>
      </c>
      <c r="E176" s="36" t="s">
        <v>585</v>
      </c>
      <c r="F176" s="62">
        <f>C176</f>
        <v>6535000</v>
      </c>
      <c r="G176" s="59"/>
      <c r="H176" s="59"/>
      <c r="I176" s="59"/>
      <c r="J176" s="59"/>
      <c r="K176" s="59"/>
      <c r="L176" s="2">
        <f t="shared" si="8"/>
        <v>0</v>
      </c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>
      <c r="A177" s="354"/>
      <c r="B177" s="72" t="s">
        <v>982</v>
      </c>
      <c r="C177" s="93"/>
      <c r="D177" s="51">
        <f t="shared" si="7"/>
        <v>64871838</v>
      </c>
      <c r="E177" s="36" t="s">
        <v>61</v>
      </c>
      <c r="F177" s="62"/>
      <c r="G177" s="59"/>
      <c r="H177" s="59"/>
      <c r="I177" s="59"/>
      <c r="J177" s="59"/>
      <c r="K177" s="59">
        <f t="shared" si="6"/>
        <v>0</v>
      </c>
      <c r="L177" s="2">
        <f t="shared" si="8"/>
        <v>0</v>
      </c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>
      <c r="A178" s="6"/>
      <c r="B178" s="72" t="s">
        <v>983</v>
      </c>
      <c r="C178" s="93">
        <v>-80000</v>
      </c>
      <c r="D178" s="51">
        <f t="shared" si="7"/>
        <v>64791838</v>
      </c>
      <c r="E178" s="36" t="s">
        <v>578</v>
      </c>
      <c r="F178" s="62"/>
      <c r="G178" s="59"/>
      <c r="H178" s="59"/>
      <c r="I178" s="59"/>
      <c r="J178" s="59"/>
      <c r="K178" s="59">
        <f t="shared" si="6"/>
        <v>-80000</v>
      </c>
      <c r="L178" s="2">
        <f t="shared" si="8"/>
        <v>0</v>
      </c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>
      <c r="A179" s="354"/>
      <c r="B179" s="72" t="s">
        <v>984</v>
      </c>
      <c r="C179" s="93">
        <v>4665000</v>
      </c>
      <c r="D179" s="51">
        <f t="shared" si="7"/>
        <v>69456838</v>
      </c>
      <c r="E179" s="36" t="s">
        <v>585</v>
      </c>
      <c r="F179" s="62">
        <f>C179</f>
        <v>4665000</v>
      </c>
      <c r="G179" s="59"/>
      <c r="H179" s="59"/>
      <c r="I179" s="59"/>
      <c r="J179" s="59"/>
      <c r="K179" s="59"/>
      <c r="L179" s="2">
        <f t="shared" si="8"/>
        <v>0</v>
      </c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>
      <c r="A180" s="354">
        <v>45423</v>
      </c>
      <c r="B180" s="72" t="s">
        <v>577</v>
      </c>
      <c r="C180" s="93">
        <v>-11000</v>
      </c>
      <c r="D180" s="51">
        <f t="shared" si="7"/>
        <v>69445838</v>
      </c>
      <c r="E180" s="36" t="s">
        <v>578</v>
      </c>
      <c r="F180" s="62"/>
      <c r="G180" s="59"/>
      <c r="H180" s="59"/>
      <c r="I180" s="59"/>
      <c r="J180" s="59"/>
      <c r="K180" s="59">
        <f t="shared" si="6"/>
        <v>-11000</v>
      </c>
      <c r="L180" s="2">
        <f t="shared" si="8"/>
        <v>0</v>
      </c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>
      <c r="A181" s="354"/>
      <c r="B181" s="72" t="s">
        <v>985</v>
      </c>
      <c r="C181" s="93">
        <v>-774000</v>
      </c>
      <c r="D181" s="51">
        <f t="shared" si="7"/>
        <v>68671838</v>
      </c>
      <c r="E181" s="36" t="s">
        <v>578</v>
      </c>
      <c r="F181" s="62"/>
      <c r="G181" s="59"/>
      <c r="H181" s="59"/>
      <c r="I181" s="59"/>
      <c r="J181" s="59"/>
      <c r="K181" s="59">
        <f t="shared" si="6"/>
        <v>-774000</v>
      </c>
      <c r="L181" s="2">
        <f t="shared" si="8"/>
        <v>0</v>
      </c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>
      <c r="A182" s="6"/>
      <c r="B182" s="72" t="s">
        <v>986</v>
      </c>
      <c r="C182" s="93">
        <v>2000000</v>
      </c>
      <c r="D182" s="51">
        <f t="shared" si="7"/>
        <v>70671838</v>
      </c>
      <c r="E182" s="36" t="s">
        <v>61</v>
      </c>
      <c r="F182" s="62"/>
      <c r="G182" s="59"/>
      <c r="H182" s="59"/>
      <c r="I182" s="59">
        <f>C182</f>
        <v>2000000</v>
      </c>
      <c r="J182" s="59"/>
      <c r="K182" s="59"/>
      <c r="L182" s="2">
        <f t="shared" si="8"/>
        <v>0</v>
      </c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>
      <c r="A183" s="353"/>
      <c r="B183" s="72" t="s">
        <v>987</v>
      </c>
      <c r="C183" s="93">
        <v>500000</v>
      </c>
      <c r="D183" s="51">
        <f t="shared" si="7"/>
        <v>71171838</v>
      </c>
      <c r="E183" s="36" t="s">
        <v>61</v>
      </c>
      <c r="F183" s="62"/>
      <c r="G183" s="59"/>
      <c r="H183" s="59"/>
      <c r="I183" s="59">
        <f>C183</f>
        <v>500000</v>
      </c>
      <c r="J183" s="59"/>
      <c r="K183" s="59"/>
      <c r="L183" s="2">
        <f t="shared" si="8"/>
        <v>0</v>
      </c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>
      <c r="A184" s="353"/>
      <c r="B184" s="72" t="s">
        <v>988</v>
      </c>
      <c r="C184" s="93">
        <v>880000</v>
      </c>
      <c r="D184" s="51">
        <f t="shared" si="7"/>
        <v>72051838</v>
      </c>
      <c r="E184" s="36" t="s">
        <v>59</v>
      </c>
      <c r="F184" s="62"/>
      <c r="G184" s="59">
        <f>C184</f>
        <v>880000</v>
      </c>
      <c r="H184" s="59"/>
      <c r="I184" s="59"/>
      <c r="J184" s="59"/>
      <c r="K184" s="59"/>
      <c r="L184" s="2">
        <f t="shared" si="8"/>
        <v>0</v>
      </c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>
      <c r="A185" s="91"/>
      <c r="B185" s="72" t="s">
        <v>989</v>
      </c>
      <c r="C185" s="93">
        <v>-65000</v>
      </c>
      <c r="D185" s="51">
        <f t="shared" si="7"/>
        <v>71986838</v>
      </c>
      <c r="E185" s="36" t="s">
        <v>578</v>
      </c>
      <c r="F185" s="62"/>
      <c r="G185" s="59"/>
      <c r="H185" s="59"/>
      <c r="I185" s="59"/>
      <c r="J185" s="59"/>
      <c r="K185" s="59">
        <f t="shared" ref="K185:K246" si="9">C185</f>
        <v>-65000</v>
      </c>
      <c r="L185" s="2">
        <f t="shared" si="8"/>
        <v>0</v>
      </c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>
      <c r="B186" s="72" t="s">
        <v>586</v>
      </c>
      <c r="C186" s="93">
        <v>-418000</v>
      </c>
      <c r="D186" s="51">
        <f t="shared" si="7"/>
        <v>71568838</v>
      </c>
      <c r="E186" s="36" t="s">
        <v>578</v>
      </c>
      <c r="F186" s="62"/>
      <c r="G186" s="59"/>
      <c r="H186" s="59"/>
      <c r="I186" s="59"/>
      <c r="J186" s="59"/>
      <c r="K186" s="59">
        <f t="shared" si="9"/>
        <v>-418000</v>
      </c>
      <c r="L186" s="2">
        <f t="shared" si="8"/>
        <v>0</v>
      </c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>
      <c r="A187" s="353"/>
      <c r="B187" s="72" t="s">
        <v>591</v>
      </c>
      <c r="C187" s="93">
        <v>-3630000</v>
      </c>
      <c r="D187" s="51">
        <f t="shared" si="7"/>
        <v>67938838</v>
      </c>
      <c r="E187" s="36" t="s">
        <v>578</v>
      </c>
      <c r="F187" s="62"/>
      <c r="G187" s="59"/>
      <c r="H187" s="59"/>
      <c r="I187" s="59"/>
      <c r="J187" s="59"/>
      <c r="K187" s="59">
        <f t="shared" si="9"/>
        <v>-3630000</v>
      </c>
      <c r="L187" s="2">
        <f t="shared" si="8"/>
        <v>0</v>
      </c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>
      <c r="A188" s="353"/>
      <c r="B188" s="72" t="s">
        <v>990</v>
      </c>
      <c r="C188" s="93">
        <v>-3650000</v>
      </c>
      <c r="D188" s="51">
        <f t="shared" si="7"/>
        <v>64288838</v>
      </c>
      <c r="E188" s="36" t="s">
        <v>578</v>
      </c>
      <c r="F188" s="62"/>
      <c r="G188" s="59"/>
      <c r="H188" s="59"/>
      <c r="I188" s="59"/>
      <c r="J188" s="59"/>
      <c r="K188" s="59">
        <f t="shared" si="9"/>
        <v>-3650000</v>
      </c>
      <c r="L188" s="2">
        <f t="shared" si="8"/>
        <v>0</v>
      </c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>
      <c r="A189" s="354"/>
      <c r="B189" s="72" t="s">
        <v>589</v>
      </c>
      <c r="C189" s="93">
        <v>-777500</v>
      </c>
      <c r="D189" s="51">
        <f t="shared" si="7"/>
        <v>63511338</v>
      </c>
      <c r="E189" s="36" t="s">
        <v>578</v>
      </c>
      <c r="F189" s="62"/>
      <c r="G189" s="59"/>
      <c r="H189" s="59"/>
      <c r="I189" s="59"/>
      <c r="J189" s="59"/>
      <c r="K189" s="59">
        <f t="shared" si="9"/>
        <v>-777500</v>
      </c>
      <c r="L189" s="2">
        <f t="shared" si="8"/>
        <v>0</v>
      </c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>
      <c r="B190" s="72" t="s">
        <v>587</v>
      </c>
      <c r="C190" s="93">
        <v>-319500</v>
      </c>
      <c r="D190" s="51">
        <f t="shared" si="7"/>
        <v>63191838</v>
      </c>
      <c r="E190" s="36" t="s">
        <v>578</v>
      </c>
      <c r="F190" s="62"/>
      <c r="G190" s="59"/>
      <c r="H190" s="59"/>
      <c r="I190" s="59"/>
      <c r="J190" s="59"/>
      <c r="K190" s="59">
        <f t="shared" si="9"/>
        <v>-319500</v>
      </c>
      <c r="L190" s="2">
        <f t="shared" si="8"/>
        <v>0</v>
      </c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>
      <c r="A191" s="353"/>
      <c r="B191" s="72" t="s">
        <v>991</v>
      </c>
      <c r="C191" s="93">
        <v>-47500</v>
      </c>
      <c r="D191" s="51">
        <f t="shared" si="7"/>
        <v>63144338</v>
      </c>
      <c r="E191" s="36" t="s">
        <v>578</v>
      </c>
      <c r="F191" s="62"/>
      <c r="G191" s="59"/>
      <c r="H191" s="59"/>
      <c r="I191" s="59"/>
      <c r="J191" s="59"/>
      <c r="K191" s="59">
        <f t="shared" si="9"/>
        <v>-47500</v>
      </c>
      <c r="L191" s="2">
        <f t="shared" si="8"/>
        <v>0</v>
      </c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>
      <c r="A192" s="353"/>
      <c r="B192" s="72" t="s">
        <v>992</v>
      </c>
      <c r="C192" s="93">
        <v>-10000</v>
      </c>
      <c r="D192" s="51">
        <f t="shared" si="7"/>
        <v>63134338</v>
      </c>
      <c r="E192" s="36" t="s">
        <v>578</v>
      </c>
      <c r="F192" s="62"/>
      <c r="G192" s="59"/>
      <c r="H192" s="59"/>
      <c r="I192" s="59"/>
      <c r="J192" s="59"/>
      <c r="K192" s="59">
        <f t="shared" si="9"/>
        <v>-10000</v>
      </c>
      <c r="L192" s="2">
        <f t="shared" si="8"/>
        <v>0</v>
      </c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>
      <c r="A193" s="353"/>
      <c r="B193" s="72" t="s">
        <v>579</v>
      </c>
      <c r="C193" s="93">
        <v>-630000</v>
      </c>
      <c r="D193" s="51">
        <f t="shared" si="7"/>
        <v>62504338</v>
      </c>
      <c r="E193" s="36" t="s">
        <v>578</v>
      </c>
      <c r="F193" s="62"/>
      <c r="G193" s="59"/>
      <c r="H193" s="59"/>
      <c r="I193" s="59"/>
      <c r="J193" s="59"/>
      <c r="K193" s="59">
        <f t="shared" si="9"/>
        <v>-630000</v>
      </c>
      <c r="L193" s="2">
        <f t="shared" si="8"/>
        <v>0</v>
      </c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>
      <c r="A194" s="353"/>
      <c r="B194" s="72" t="s">
        <v>993</v>
      </c>
      <c r="C194" s="93">
        <v>-75000</v>
      </c>
      <c r="D194" s="51">
        <f t="shared" ref="D194:D257" si="10">SUM(D193,C194)</f>
        <v>62429338</v>
      </c>
      <c r="E194" s="36" t="s">
        <v>578</v>
      </c>
      <c r="F194" s="62"/>
      <c r="G194" s="59"/>
      <c r="H194" s="59"/>
      <c r="I194" s="59"/>
      <c r="J194" s="59"/>
      <c r="K194" s="59">
        <f t="shared" si="9"/>
        <v>-75000</v>
      </c>
      <c r="L194" s="2">
        <f t="shared" si="8"/>
        <v>0</v>
      </c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>
      <c r="A195" s="353"/>
      <c r="B195" s="72" t="s">
        <v>591</v>
      </c>
      <c r="C195" s="93">
        <v>-418500</v>
      </c>
      <c r="D195" s="51">
        <f t="shared" si="10"/>
        <v>62010838</v>
      </c>
      <c r="E195" s="36" t="s">
        <v>578</v>
      </c>
      <c r="F195" s="62"/>
      <c r="G195" s="59"/>
      <c r="H195" s="59"/>
      <c r="I195" s="59"/>
      <c r="J195" s="59"/>
      <c r="K195" s="59">
        <f t="shared" si="9"/>
        <v>-418500</v>
      </c>
      <c r="L195" s="2">
        <f t="shared" ref="L195:L258" si="11">C195-F195-G195-H195-I195-J195-K195</f>
        <v>0</v>
      </c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>
      <c r="A196" s="354"/>
      <c r="B196" s="72" t="s">
        <v>18</v>
      </c>
      <c r="C196" s="93">
        <v>150000</v>
      </c>
      <c r="D196" s="51">
        <f t="shared" si="10"/>
        <v>62160838</v>
      </c>
      <c r="E196" s="36" t="s">
        <v>1</v>
      </c>
      <c r="F196" s="62"/>
      <c r="G196" s="59"/>
      <c r="H196" s="59">
        <f>C196</f>
        <v>150000</v>
      </c>
      <c r="I196" s="59"/>
      <c r="J196" s="59"/>
      <c r="K196" s="59"/>
      <c r="L196" s="2">
        <f t="shared" si="11"/>
        <v>0</v>
      </c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>
      <c r="B197" s="72" t="s">
        <v>994</v>
      </c>
      <c r="C197" s="93">
        <v>-123000</v>
      </c>
      <c r="D197" s="51">
        <f t="shared" si="10"/>
        <v>62037838</v>
      </c>
      <c r="E197" s="36" t="s">
        <v>578</v>
      </c>
      <c r="F197" s="62"/>
      <c r="G197" s="59"/>
      <c r="H197" s="59"/>
      <c r="I197" s="59"/>
      <c r="J197" s="59"/>
      <c r="K197" s="59">
        <f t="shared" si="9"/>
        <v>-123000</v>
      </c>
      <c r="L197" s="2">
        <f t="shared" si="11"/>
        <v>0</v>
      </c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>
      <c r="A198" s="353"/>
      <c r="B198" s="72" t="s">
        <v>995</v>
      </c>
      <c r="C198" s="93">
        <v>3000000</v>
      </c>
      <c r="D198" s="51">
        <f t="shared" si="10"/>
        <v>65037838</v>
      </c>
      <c r="E198" s="36" t="s">
        <v>61</v>
      </c>
      <c r="F198" s="62"/>
      <c r="G198" s="59"/>
      <c r="H198" s="59"/>
      <c r="I198" s="59">
        <f>C198</f>
        <v>3000000</v>
      </c>
      <c r="J198" s="59"/>
      <c r="K198" s="59"/>
      <c r="L198" s="2">
        <f t="shared" si="11"/>
        <v>0</v>
      </c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>
      <c r="A199" s="354"/>
      <c r="B199" s="72" t="s">
        <v>996</v>
      </c>
      <c r="C199" s="93">
        <v>-65000</v>
      </c>
      <c r="D199" s="51">
        <f t="shared" si="10"/>
        <v>64972838</v>
      </c>
      <c r="E199" s="36" t="s">
        <v>578</v>
      </c>
      <c r="F199" s="62"/>
      <c r="G199" s="59"/>
      <c r="H199" s="59"/>
      <c r="I199" s="59"/>
      <c r="J199" s="59"/>
      <c r="K199" s="59">
        <f t="shared" si="9"/>
        <v>-65000</v>
      </c>
      <c r="L199" s="2">
        <f t="shared" si="11"/>
        <v>0</v>
      </c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>
      <c r="B200" s="72" t="s">
        <v>997</v>
      </c>
      <c r="C200" s="93">
        <v>-65000</v>
      </c>
      <c r="D200" s="51">
        <f t="shared" si="10"/>
        <v>64907838</v>
      </c>
      <c r="E200" s="36" t="s">
        <v>578</v>
      </c>
      <c r="F200" s="62"/>
      <c r="G200" s="59"/>
      <c r="H200" s="59"/>
      <c r="I200" s="59"/>
      <c r="J200" s="59"/>
      <c r="K200" s="59">
        <f t="shared" si="9"/>
        <v>-65000</v>
      </c>
      <c r="L200" s="2">
        <f t="shared" si="11"/>
        <v>0</v>
      </c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>
      <c r="A201" s="354"/>
      <c r="B201" s="72" t="s">
        <v>998</v>
      </c>
      <c r="C201" s="93">
        <v>-160000</v>
      </c>
      <c r="D201" s="51">
        <f t="shared" si="10"/>
        <v>64747838</v>
      </c>
      <c r="E201" s="36" t="s">
        <v>578</v>
      </c>
      <c r="F201" s="62"/>
      <c r="G201" s="59"/>
      <c r="H201" s="59"/>
      <c r="I201" s="59"/>
      <c r="J201" s="59"/>
      <c r="K201" s="59">
        <f t="shared" si="9"/>
        <v>-160000</v>
      </c>
      <c r="L201" s="2">
        <f t="shared" si="11"/>
        <v>0</v>
      </c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>
      <c r="B202" s="72" t="s">
        <v>999</v>
      </c>
      <c r="C202" s="93">
        <v>4244000</v>
      </c>
      <c r="D202" s="51">
        <f t="shared" si="10"/>
        <v>68991838</v>
      </c>
      <c r="E202" s="36" t="s">
        <v>585</v>
      </c>
      <c r="F202" s="62">
        <f>C202</f>
        <v>4244000</v>
      </c>
      <c r="G202" s="59"/>
      <c r="H202" s="59"/>
      <c r="I202" s="59"/>
      <c r="J202" s="59"/>
      <c r="K202" s="59"/>
      <c r="L202" s="2">
        <f t="shared" si="11"/>
        <v>0</v>
      </c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>
      <c r="A203" s="353">
        <v>45424</v>
      </c>
      <c r="B203" s="72" t="s">
        <v>577</v>
      </c>
      <c r="C203" s="93">
        <v>-11000</v>
      </c>
      <c r="D203" s="51">
        <f t="shared" si="10"/>
        <v>68980838</v>
      </c>
      <c r="E203" s="36" t="s">
        <v>578</v>
      </c>
      <c r="F203" s="62"/>
      <c r="G203" s="59"/>
      <c r="H203" s="59"/>
      <c r="I203" s="59"/>
      <c r="J203" s="59"/>
      <c r="K203" s="59">
        <f t="shared" si="9"/>
        <v>-11000</v>
      </c>
      <c r="L203" s="2">
        <f t="shared" si="11"/>
        <v>0</v>
      </c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>
      <c r="A204" s="353"/>
      <c r="B204" s="72" t="s">
        <v>1000</v>
      </c>
      <c r="C204" s="93">
        <v>-65000</v>
      </c>
      <c r="D204" s="51">
        <f t="shared" si="10"/>
        <v>68915838</v>
      </c>
      <c r="E204" s="36" t="s">
        <v>578</v>
      </c>
      <c r="F204" s="62"/>
      <c r="G204" s="59"/>
      <c r="H204" s="59"/>
      <c r="I204" s="59"/>
      <c r="J204" s="59"/>
      <c r="K204" s="59">
        <f t="shared" si="9"/>
        <v>-65000</v>
      </c>
      <c r="L204" s="2">
        <f t="shared" si="11"/>
        <v>0</v>
      </c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>
      <c r="A205" s="354"/>
      <c r="B205" s="72" t="s">
        <v>1001</v>
      </c>
      <c r="C205" s="93">
        <v>-180000</v>
      </c>
      <c r="D205" s="51">
        <f t="shared" si="10"/>
        <v>68735838</v>
      </c>
      <c r="E205" s="36" t="s">
        <v>578</v>
      </c>
      <c r="F205" s="62"/>
      <c r="G205" s="59"/>
      <c r="H205" s="59"/>
      <c r="I205" s="59"/>
      <c r="J205" s="59"/>
      <c r="K205" s="59">
        <f t="shared" si="9"/>
        <v>-180000</v>
      </c>
      <c r="L205" s="2">
        <f t="shared" si="11"/>
        <v>0</v>
      </c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>
      <c r="B206" s="72" t="s">
        <v>584</v>
      </c>
      <c r="C206" s="93">
        <v>-774000</v>
      </c>
      <c r="D206" s="51">
        <f t="shared" si="10"/>
        <v>67961838</v>
      </c>
      <c r="E206" s="36" t="s">
        <v>578</v>
      </c>
      <c r="F206" s="62"/>
      <c r="G206" s="59"/>
      <c r="H206" s="59"/>
      <c r="I206" s="59"/>
      <c r="J206" s="59"/>
      <c r="K206" s="59">
        <f t="shared" si="9"/>
        <v>-774000</v>
      </c>
      <c r="L206" s="2">
        <f t="shared" si="11"/>
        <v>0</v>
      </c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>
      <c r="A207" s="353"/>
      <c r="B207" s="72" t="s">
        <v>591</v>
      </c>
      <c r="C207" s="93">
        <v>-1004000</v>
      </c>
      <c r="D207" s="51">
        <f t="shared" si="10"/>
        <v>66957838</v>
      </c>
      <c r="E207" s="36" t="s">
        <v>578</v>
      </c>
      <c r="F207" s="62"/>
      <c r="G207" s="59"/>
      <c r="H207" s="59"/>
      <c r="I207" s="59"/>
      <c r="J207" s="59"/>
      <c r="K207" s="59">
        <f t="shared" si="9"/>
        <v>-1004000</v>
      </c>
      <c r="L207" s="2">
        <f t="shared" si="11"/>
        <v>0</v>
      </c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>
      <c r="A208" s="353"/>
      <c r="B208" s="72" t="s">
        <v>1002</v>
      </c>
      <c r="C208" s="93">
        <v>-65000</v>
      </c>
      <c r="D208" s="51">
        <f t="shared" si="10"/>
        <v>66892838</v>
      </c>
      <c r="E208" s="36" t="s">
        <v>578</v>
      </c>
      <c r="F208" s="62"/>
      <c r="G208" s="59"/>
      <c r="H208" s="59"/>
      <c r="I208" s="59"/>
      <c r="J208" s="59"/>
      <c r="K208" s="59">
        <f t="shared" si="9"/>
        <v>-65000</v>
      </c>
      <c r="L208" s="2">
        <f t="shared" si="11"/>
        <v>0</v>
      </c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>
      <c r="A209" s="353"/>
      <c r="B209" s="72" t="s">
        <v>18</v>
      </c>
      <c r="C209" s="93">
        <v>170000</v>
      </c>
      <c r="D209" s="51">
        <f t="shared" si="10"/>
        <v>67062838</v>
      </c>
      <c r="E209" s="36" t="s">
        <v>1</v>
      </c>
      <c r="F209" s="62"/>
      <c r="G209" s="59"/>
      <c r="H209" s="59">
        <f>C209</f>
        <v>170000</v>
      </c>
      <c r="I209" s="59"/>
      <c r="J209" s="59"/>
      <c r="K209" s="59"/>
      <c r="L209" s="2">
        <f t="shared" si="11"/>
        <v>0</v>
      </c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>
      <c r="A210" s="91"/>
      <c r="B210" s="72" t="s">
        <v>1003</v>
      </c>
      <c r="C210" s="93"/>
      <c r="D210" s="51">
        <f t="shared" si="10"/>
        <v>67062838</v>
      </c>
      <c r="E210" s="36" t="s">
        <v>61</v>
      </c>
      <c r="F210" s="62"/>
      <c r="G210" s="59"/>
      <c r="H210" s="59"/>
      <c r="I210" s="59"/>
      <c r="J210" s="59"/>
      <c r="K210" s="59">
        <f t="shared" si="9"/>
        <v>0</v>
      </c>
      <c r="L210" s="2">
        <f t="shared" si="11"/>
        <v>0</v>
      </c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>
      <c r="B211" s="72" t="s">
        <v>1004</v>
      </c>
      <c r="C211" s="93"/>
      <c r="D211" s="51">
        <f t="shared" si="10"/>
        <v>67062838</v>
      </c>
      <c r="E211" s="36" t="s">
        <v>61</v>
      </c>
      <c r="F211" s="62"/>
      <c r="G211" s="59"/>
      <c r="H211" s="59"/>
      <c r="I211" s="59"/>
      <c r="J211" s="59"/>
      <c r="K211" s="59">
        <f t="shared" si="9"/>
        <v>0</v>
      </c>
      <c r="L211" s="2">
        <f t="shared" si="11"/>
        <v>0</v>
      </c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>
      <c r="A212" s="353">
        <v>45425</v>
      </c>
      <c r="B212" s="72" t="s">
        <v>577</v>
      </c>
      <c r="C212" s="93">
        <v>-11000</v>
      </c>
      <c r="D212" s="51">
        <f t="shared" si="10"/>
        <v>67051838</v>
      </c>
      <c r="E212" s="36" t="s">
        <v>578</v>
      </c>
      <c r="F212" s="62"/>
      <c r="G212" s="59"/>
      <c r="H212" s="59"/>
      <c r="I212" s="59"/>
      <c r="J212" s="59"/>
      <c r="K212" s="59">
        <f t="shared" si="9"/>
        <v>-11000</v>
      </c>
      <c r="L212" s="2">
        <f t="shared" si="11"/>
        <v>0</v>
      </c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>
      <c r="A213" s="354"/>
      <c r="B213" s="72" t="s">
        <v>591</v>
      </c>
      <c r="C213" s="93">
        <v>-1188000</v>
      </c>
      <c r="D213" s="51">
        <f t="shared" si="10"/>
        <v>65863838</v>
      </c>
      <c r="E213" s="36" t="s">
        <v>578</v>
      </c>
      <c r="F213" s="62"/>
      <c r="G213" s="59"/>
      <c r="H213" s="59"/>
      <c r="I213" s="59"/>
      <c r="J213" s="59"/>
      <c r="K213" s="59">
        <f t="shared" si="9"/>
        <v>-1188000</v>
      </c>
      <c r="L213" s="2">
        <f t="shared" si="11"/>
        <v>0</v>
      </c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>
      <c r="B214" s="72" t="s">
        <v>1005</v>
      </c>
      <c r="C214" s="93">
        <v>-51000</v>
      </c>
      <c r="D214" s="51">
        <f t="shared" si="10"/>
        <v>65812838</v>
      </c>
      <c r="E214" s="36" t="s">
        <v>578</v>
      </c>
      <c r="F214" s="62"/>
      <c r="G214" s="59"/>
      <c r="H214" s="59"/>
      <c r="I214" s="59"/>
      <c r="J214" s="59"/>
      <c r="K214" s="59">
        <f t="shared" si="9"/>
        <v>-51000</v>
      </c>
      <c r="L214" s="2">
        <f t="shared" si="11"/>
        <v>0</v>
      </c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>
      <c r="A215" s="353"/>
      <c r="B215" s="72" t="s">
        <v>1006</v>
      </c>
      <c r="C215" s="93">
        <v>-100000</v>
      </c>
      <c r="D215" s="51">
        <f t="shared" si="10"/>
        <v>65712838</v>
      </c>
      <c r="E215" s="36" t="s">
        <v>578</v>
      </c>
      <c r="F215" s="62"/>
      <c r="G215" s="59"/>
      <c r="H215" s="59"/>
      <c r="I215" s="59"/>
      <c r="J215" s="59"/>
      <c r="K215" s="59">
        <f t="shared" si="9"/>
        <v>-100000</v>
      </c>
      <c r="L215" s="2">
        <f t="shared" si="11"/>
        <v>0</v>
      </c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>
      <c r="A216" s="354"/>
      <c r="B216" s="72" t="s">
        <v>1007</v>
      </c>
      <c r="C216" s="93">
        <v>38290000</v>
      </c>
      <c r="D216" s="51">
        <f t="shared" si="10"/>
        <v>104002838</v>
      </c>
      <c r="E216" s="36" t="s">
        <v>585</v>
      </c>
      <c r="F216" s="62">
        <f>C216</f>
        <v>38290000</v>
      </c>
      <c r="G216" s="59"/>
      <c r="H216" s="59"/>
      <c r="I216" s="59"/>
      <c r="J216" s="59"/>
      <c r="K216" s="59"/>
      <c r="L216" s="2">
        <f t="shared" si="11"/>
        <v>0</v>
      </c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>
      <c r="B217" s="72" t="s">
        <v>224</v>
      </c>
      <c r="C217" s="93">
        <v>-432000</v>
      </c>
      <c r="D217" s="51">
        <f t="shared" si="10"/>
        <v>103570838</v>
      </c>
      <c r="E217" s="36" t="s">
        <v>578</v>
      </c>
      <c r="F217" s="62"/>
      <c r="G217" s="59"/>
      <c r="H217" s="59"/>
      <c r="I217" s="59"/>
      <c r="J217" s="59"/>
      <c r="K217" s="59">
        <f t="shared" si="9"/>
        <v>-432000</v>
      </c>
      <c r="L217" s="2">
        <f t="shared" si="11"/>
        <v>0</v>
      </c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>
      <c r="A218" s="354"/>
      <c r="B218" s="72" t="s">
        <v>591</v>
      </c>
      <c r="C218" s="93">
        <v>-2259000</v>
      </c>
      <c r="D218" s="51">
        <f t="shared" si="10"/>
        <v>101311838</v>
      </c>
      <c r="E218" s="36" t="s">
        <v>578</v>
      </c>
      <c r="F218" s="62"/>
      <c r="G218" s="59"/>
      <c r="H218" s="59"/>
      <c r="I218" s="59"/>
      <c r="J218" s="59"/>
      <c r="K218" s="59">
        <f t="shared" si="9"/>
        <v>-2259000</v>
      </c>
      <c r="L218" s="2">
        <f t="shared" si="11"/>
        <v>0</v>
      </c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>
      <c r="B219" s="72" t="s">
        <v>1008</v>
      </c>
      <c r="C219" s="93">
        <v>-65000</v>
      </c>
      <c r="D219" s="51">
        <f t="shared" si="10"/>
        <v>101246838</v>
      </c>
      <c r="E219" s="36" t="s">
        <v>578</v>
      </c>
      <c r="F219" s="62"/>
      <c r="G219" s="59"/>
      <c r="H219" s="59"/>
      <c r="I219" s="59"/>
      <c r="J219" s="59"/>
      <c r="K219" s="59">
        <f t="shared" si="9"/>
        <v>-65000</v>
      </c>
      <c r="L219" s="2">
        <f t="shared" si="11"/>
        <v>0</v>
      </c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>
      <c r="A220" s="91"/>
      <c r="B220" s="72" t="s">
        <v>590</v>
      </c>
      <c r="C220" s="93">
        <v>-93500</v>
      </c>
      <c r="D220" s="51">
        <f t="shared" si="10"/>
        <v>101153338</v>
      </c>
      <c r="E220" s="36" t="s">
        <v>578</v>
      </c>
      <c r="F220" s="62"/>
      <c r="G220" s="59"/>
      <c r="H220" s="59"/>
      <c r="I220" s="59"/>
      <c r="J220" s="59"/>
      <c r="K220" s="59">
        <f t="shared" si="9"/>
        <v>-93500</v>
      </c>
      <c r="L220" s="2">
        <f t="shared" si="11"/>
        <v>0</v>
      </c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>
      <c r="B221" s="72" t="s">
        <v>1009</v>
      </c>
      <c r="C221" s="93">
        <v>-423000</v>
      </c>
      <c r="D221" s="51">
        <f t="shared" si="10"/>
        <v>100730338</v>
      </c>
      <c r="E221" s="36" t="s">
        <v>578</v>
      </c>
      <c r="F221" s="62"/>
      <c r="G221" s="59"/>
      <c r="H221" s="59"/>
      <c r="I221" s="59"/>
      <c r="J221" s="59"/>
      <c r="K221" s="59">
        <f t="shared" si="9"/>
        <v>-423000</v>
      </c>
      <c r="L221" s="2">
        <f t="shared" si="11"/>
        <v>0</v>
      </c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>
      <c r="A222" s="353"/>
      <c r="B222" s="72" t="s">
        <v>1010</v>
      </c>
      <c r="C222" s="93"/>
      <c r="D222" s="51">
        <f t="shared" si="10"/>
        <v>100730338</v>
      </c>
      <c r="E222" s="36" t="s">
        <v>59</v>
      </c>
      <c r="F222" s="62"/>
      <c r="G222" s="59"/>
      <c r="H222" s="59"/>
      <c r="I222" s="59"/>
      <c r="J222" s="59"/>
      <c r="K222" s="59">
        <f t="shared" si="9"/>
        <v>0</v>
      </c>
      <c r="L222" s="2">
        <f t="shared" si="11"/>
        <v>0</v>
      </c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>
      <c r="A223" s="6"/>
      <c r="B223" s="72" t="s">
        <v>1011</v>
      </c>
      <c r="C223" s="93">
        <v>-1400000</v>
      </c>
      <c r="D223" s="51">
        <f t="shared" si="10"/>
        <v>99330338</v>
      </c>
      <c r="E223" s="36" t="s">
        <v>578</v>
      </c>
      <c r="F223" s="62"/>
      <c r="G223" s="59"/>
      <c r="H223" s="59"/>
      <c r="I223" s="59"/>
      <c r="J223" s="59"/>
      <c r="K223" s="59">
        <f t="shared" si="9"/>
        <v>-1400000</v>
      </c>
      <c r="L223" s="2">
        <f t="shared" si="11"/>
        <v>0</v>
      </c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>
      <c r="A224" s="353"/>
      <c r="B224" s="72" t="s">
        <v>991</v>
      </c>
      <c r="C224" s="93">
        <v>-1285000</v>
      </c>
      <c r="D224" s="51">
        <f t="shared" si="10"/>
        <v>98045338</v>
      </c>
      <c r="E224" s="36" t="s">
        <v>578</v>
      </c>
      <c r="F224" s="62"/>
      <c r="G224" s="59"/>
      <c r="H224" s="59"/>
      <c r="I224" s="59"/>
      <c r="J224" s="59"/>
      <c r="K224" s="59">
        <f t="shared" si="9"/>
        <v>-1285000</v>
      </c>
      <c r="L224" s="2">
        <f t="shared" si="11"/>
        <v>0</v>
      </c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>
      <c r="A225" s="354"/>
      <c r="B225" s="72" t="s">
        <v>1012</v>
      </c>
      <c r="C225" s="93">
        <v>-350000</v>
      </c>
      <c r="D225" s="51">
        <f t="shared" si="10"/>
        <v>97695338</v>
      </c>
      <c r="E225" s="36" t="s">
        <v>578</v>
      </c>
      <c r="F225" s="62"/>
      <c r="G225" s="59"/>
      <c r="H225" s="59"/>
      <c r="I225" s="59"/>
      <c r="J225" s="59"/>
      <c r="K225" s="59">
        <f t="shared" si="9"/>
        <v>-350000</v>
      </c>
      <c r="L225" s="2">
        <f t="shared" si="11"/>
        <v>0</v>
      </c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>
      <c r="A226" s="354"/>
      <c r="B226" s="72" t="s">
        <v>1013</v>
      </c>
      <c r="C226" s="93">
        <v>-80000000</v>
      </c>
      <c r="D226" s="51">
        <f t="shared" si="10"/>
        <v>17695338</v>
      </c>
      <c r="E226" s="36" t="s">
        <v>583</v>
      </c>
      <c r="F226" s="62"/>
      <c r="G226" s="59"/>
      <c r="H226" s="59"/>
      <c r="I226" s="59"/>
      <c r="J226" s="59">
        <f>C226</f>
        <v>-80000000</v>
      </c>
      <c r="K226" s="59"/>
      <c r="L226" s="2">
        <f t="shared" si="11"/>
        <v>0</v>
      </c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>
      <c r="B227" s="72" t="s">
        <v>1014</v>
      </c>
      <c r="C227" s="93">
        <v>-75000</v>
      </c>
      <c r="D227" s="51">
        <f t="shared" si="10"/>
        <v>17620338</v>
      </c>
      <c r="E227" s="36" t="s">
        <v>578</v>
      </c>
      <c r="F227" s="62"/>
      <c r="G227" s="59"/>
      <c r="H227" s="59"/>
      <c r="I227" s="59"/>
      <c r="J227" s="59"/>
      <c r="K227" s="59">
        <f t="shared" si="9"/>
        <v>-75000</v>
      </c>
      <c r="L227" s="2">
        <f t="shared" si="11"/>
        <v>0</v>
      </c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>
      <c r="A228" s="353"/>
      <c r="B228" s="72" t="s">
        <v>1015</v>
      </c>
      <c r="C228" s="5">
        <v>-1800000</v>
      </c>
      <c r="D228" s="51">
        <f t="shared" si="10"/>
        <v>15820338</v>
      </c>
      <c r="E228" s="36" t="s">
        <v>578</v>
      </c>
      <c r="F228" s="62"/>
      <c r="G228" s="59"/>
      <c r="H228" s="59"/>
      <c r="I228" s="59"/>
      <c r="J228" s="59"/>
      <c r="K228" s="59">
        <f t="shared" si="9"/>
        <v>-1800000</v>
      </c>
      <c r="L228" s="2">
        <f t="shared" si="11"/>
        <v>0</v>
      </c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>
      <c r="B229" s="72" t="s">
        <v>18</v>
      </c>
      <c r="C229" s="93">
        <v>80000</v>
      </c>
      <c r="D229" s="51">
        <f t="shared" si="10"/>
        <v>15900338</v>
      </c>
      <c r="E229" s="36" t="s">
        <v>1</v>
      </c>
      <c r="F229" s="62"/>
      <c r="G229" s="59"/>
      <c r="H229" s="59">
        <f>C229</f>
        <v>80000</v>
      </c>
      <c r="I229" s="59"/>
      <c r="J229" s="59"/>
      <c r="K229" s="59"/>
      <c r="L229" s="2">
        <f t="shared" si="11"/>
        <v>0</v>
      </c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>
      <c r="A230" s="353"/>
      <c r="B230" s="388" t="s">
        <v>1016</v>
      </c>
      <c r="C230" s="93">
        <v>-65000</v>
      </c>
      <c r="D230" s="51">
        <f t="shared" si="10"/>
        <v>15835338</v>
      </c>
      <c r="E230" s="36" t="s">
        <v>578</v>
      </c>
      <c r="F230" s="62"/>
      <c r="G230" s="59"/>
      <c r="H230" s="59"/>
      <c r="I230" s="59"/>
      <c r="J230" s="59"/>
      <c r="K230" s="59">
        <f t="shared" si="9"/>
        <v>-65000</v>
      </c>
      <c r="L230" s="2">
        <f t="shared" si="11"/>
        <v>0</v>
      </c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>
      <c r="A231" s="353">
        <v>45426</v>
      </c>
      <c r="B231" s="72" t="s">
        <v>577</v>
      </c>
      <c r="C231" s="93">
        <v>-11000</v>
      </c>
      <c r="D231" s="51">
        <f t="shared" si="10"/>
        <v>15824338</v>
      </c>
      <c r="E231" s="36" t="s">
        <v>578</v>
      </c>
      <c r="F231" s="62"/>
      <c r="G231" s="59"/>
      <c r="H231" s="59"/>
      <c r="I231" s="59"/>
      <c r="J231" s="59"/>
      <c r="K231" s="59">
        <f t="shared" si="9"/>
        <v>-11000</v>
      </c>
      <c r="L231" s="2">
        <f t="shared" si="11"/>
        <v>0</v>
      </c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>
      <c r="B232" s="72" t="s">
        <v>1017</v>
      </c>
      <c r="C232" s="93">
        <v>17385000</v>
      </c>
      <c r="D232" s="51">
        <f t="shared" si="10"/>
        <v>33209338</v>
      </c>
      <c r="E232" s="36" t="s">
        <v>585</v>
      </c>
      <c r="F232" s="62">
        <f>C232</f>
        <v>17385000</v>
      </c>
      <c r="G232" s="59"/>
      <c r="H232" s="59"/>
      <c r="I232" s="59"/>
      <c r="J232" s="59"/>
      <c r="K232" s="59"/>
      <c r="L232" s="2">
        <f t="shared" si="11"/>
        <v>0</v>
      </c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>
      <c r="A233" s="354"/>
      <c r="B233" s="72" t="s">
        <v>1018</v>
      </c>
      <c r="C233" s="93">
        <v>5000000</v>
      </c>
      <c r="D233" s="51">
        <f t="shared" si="10"/>
        <v>38209338</v>
      </c>
      <c r="E233" s="36" t="s">
        <v>61</v>
      </c>
      <c r="F233" s="62"/>
      <c r="G233" s="59"/>
      <c r="H233" s="59"/>
      <c r="I233" s="59">
        <f>C233</f>
        <v>5000000</v>
      </c>
      <c r="J233" s="59"/>
      <c r="K233" s="59"/>
      <c r="L233" s="2">
        <f t="shared" si="11"/>
        <v>0</v>
      </c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>
      <c r="A234" s="354"/>
      <c r="B234" s="72" t="s">
        <v>1019</v>
      </c>
      <c r="C234" s="93">
        <v>-65000</v>
      </c>
      <c r="D234" s="51">
        <f t="shared" si="10"/>
        <v>38144338</v>
      </c>
      <c r="E234" s="36" t="s">
        <v>578</v>
      </c>
      <c r="F234" s="62"/>
      <c r="G234" s="59"/>
      <c r="H234" s="59"/>
      <c r="I234" s="59"/>
      <c r="J234" s="59"/>
      <c r="K234" s="59">
        <f t="shared" si="9"/>
        <v>-65000</v>
      </c>
      <c r="L234" s="2">
        <f t="shared" si="11"/>
        <v>0</v>
      </c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>
      <c r="B235" s="72" t="s">
        <v>584</v>
      </c>
      <c r="C235" s="93">
        <v>-577000</v>
      </c>
      <c r="D235" s="51">
        <f t="shared" si="10"/>
        <v>37567338</v>
      </c>
      <c r="E235" s="36" t="s">
        <v>578</v>
      </c>
      <c r="F235" s="62"/>
      <c r="G235" s="59"/>
      <c r="H235" s="59"/>
      <c r="I235" s="59"/>
      <c r="J235" s="59"/>
      <c r="K235" s="59">
        <f t="shared" si="9"/>
        <v>-577000</v>
      </c>
      <c r="L235" s="2">
        <f t="shared" si="11"/>
        <v>0</v>
      </c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>
      <c r="A236" s="91"/>
      <c r="B236" s="72" t="s">
        <v>591</v>
      </c>
      <c r="C236" s="93">
        <v>-2800500</v>
      </c>
      <c r="D236" s="51">
        <f t="shared" si="10"/>
        <v>34766838</v>
      </c>
      <c r="E236" s="36" t="s">
        <v>578</v>
      </c>
      <c r="F236" s="62"/>
      <c r="G236" s="59"/>
      <c r="H236" s="59"/>
      <c r="I236" s="59"/>
      <c r="J236" s="59"/>
      <c r="K236" s="59">
        <f t="shared" si="9"/>
        <v>-2800500</v>
      </c>
      <c r="L236" s="2">
        <f t="shared" si="11"/>
        <v>0</v>
      </c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>
      <c r="B237" s="72" t="s">
        <v>1020</v>
      </c>
      <c r="C237" s="93">
        <v>-27000</v>
      </c>
      <c r="D237" s="51">
        <f t="shared" si="10"/>
        <v>34739838</v>
      </c>
      <c r="E237" s="36" t="s">
        <v>578</v>
      </c>
      <c r="F237" s="62"/>
      <c r="G237" s="59"/>
      <c r="H237" s="59"/>
      <c r="I237" s="59"/>
      <c r="J237" s="59"/>
      <c r="K237" s="59">
        <f t="shared" si="9"/>
        <v>-27000</v>
      </c>
      <c r="L237" s="2">
        <f t="shared" si="11"/>
        <v>0</v>
      </c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>
      <c r="A238" s="6"/>
      <c r="B238" s="72" t="s">
        <v>579</v>
      </c>
      <c r="C238" s="93">
        <v>-425000</v>
      </c>
      <c r="D238" s="51">
        <f t="shared" si="10"/>
        <v>34314838</v>
      </c>
      <c r="E238" s="36" t="s">
        <v>578</v>
      </c>
      <c r="F238" s="62"/>
      <c r="G238" s="59"/>
      <c r="H238" s="59"/>
      <c r="I238" s="59"/>
      <c r="J238" s="59"/>
      <c r="K238" s="59">
        <f t="shared" si="9"/>
        <v>-425000</v>
      </c>
      <c r="L238" s="2">
        <f t="shared" si="11"/>
        <v>0</v>
      </c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>
      <c r="A239" s="353"/>
      <c r="B239" s="72" t="s">
        <v>1021</v>
      </c>
      <c r="C239" s="93">
        <v>-428000</v>
      </c>
      <c r="D239" s="51">
        <f t="shared" si="10"/>
        <v>33886838</v>
      </c>
      <c r="E239" s="36" t="s">
        <v>578</v>
      </c>
      <c r="F239" s="62"/>
      <c r="G239" s="59"/>
      <c r="H239" s="59"/>
      <c r="I239" s="59"/>
      <c r="J239" s="59"/>
      <c r="K239" s="59">
        <f t="shared" si="9"/>
        <v>-428000</v>
      </c>
      <c r="L239" s="2">
        <f t="shared" si="11"/>
        <v>0</v>
      </c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>
      <c r="A240" s="353"/>
      <c r="B240" s="72" t="s">
        <v>589</v>
      </c>
      <c r="C240" s="93">
        <v>-357000</v>
      </c>
      <c r="D240" s="51">
        <f t="shared" si="10"/>
        <v>33529838</v>
      </c>
      <c r="E240" s="36" t="s">
        <v>578</v>
      </c>
      <c r="F240" s="62"/>
      <c r="G240" s="59"/>
      <c r="H240" s="59"/>
      <c r="I240" s="59"/>
      <c r="J240" s="59"/>
      <c r="K240" s="59">
        <f t="shared" si="9"/>
        <v>-357000</v>
      </c>
      <c r="L240" s="2">
        <f t="shared" si="11"/>
        <v>0</v>
      </c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>
      <c r="A241" s="353"/>
      <c r="B241" s="72" t="s">
        <v>1022</v>
      </c>
      <c r="C241" s="93">
        <v>-1500000</v>
      </c>
      <c r="D241" s="51">
        <f t="shared" si="10"/>
        <v>32029838</v>
      </c>
      <c r="E241" s="36" t="s">
        <v>578</v>
      </c>
      <c r="F241" s="62"/>
      <c r="G241" s="59"/>
      <c r="H241" s="59"/>
      <c r="I241" s="59"/>
      <c r="J241" s="59"/>
      <c r="K241" s="59">
        <f t="shared" si="9"/>
        <v>-1500000</v>
      </c>
      <c r="L241" s="2">
        <f t="shared" si="11"/>
        <v>0</v>
      </c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>
      <c r="A242" s="354"/>
      <c r="B242" s="72" t="s">
        <v>589</v>
      </c>
      <c r="C242" s="93">
        <v>-75000</v>
      </c>
      <c r="D242" s="51">
        <f t="shared" si="10"/>
        <v>31954838</v>
      </c>
      <c r="E242" s="36" t="s">
        <v>578</v>
      </c>
      <c r="F242" s="62"/>
      <c r="G242" s="59"/>
      <c r="H242" s="59"/>
      <c r="I242" s="59"/>
      <c r="J242" s="59"/>
      <c r="K242" s="59">
        <f t="shared" si="9"/>
        <v>-75000</v>
      </c>
      <c r="L242" s="2">
        <f t="shared" si="11"/>
        <v>0</v>
      </c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>
      <c r="B243" s="72" t="s">
        <v>18</v>
      </c>
      <c r="C243" s="93">
        <v>110000</v>
      </c>
      <c r="D243" s="51">
        <f t="shared" si="10"/>
        <v>32064838</v>
      </c>
      <c r="E243" s="36" t="s">
        <v>1</v>
      </c>
      <c r="F243" s="62"/>
      <c r="G243" s="59"/>
      <c r="H243" s="59">
        <f>C243</f>
        <v>110000</v>
      </c>
      <c r="I243" s="59"/>
      <c r="J243" s="59"/>
      <c r="K243" s="59"/>
      <c r="L243" s="2">
        <f t="shared" si="11"/>
        <v>0</v>
      </c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>
      <c r="A244" s="353"/>
      <c r="B244" s="72" t="s">
        <v>1023</v>
      </c>
      <c r="C244" s="93">
        <v>-1400000</v>
      </c>
      <c r="D244" s="51">
        <f t="shared" si="10"/>
        <v>30664838</v>
      </c>
      <c r="E244" s="36" t="s">
        <v>578</v>
      </c>
      <c r="F244" s="62"/>
      <c r="G244" s="59"/>
      <c r="H244" s="59"/>
      <c r="I244" s="59"/>
      <c r="J244" s="59"/>
      <c r="K244" s="59">
        <f t="shared" si="9"/>
        <v>-1400000</v>
      </c>
      <c r="L244" s="2">
        <f t="shared" si="11"/>
        <v>0</v>
      </c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>
      <c r="B245" s="72" t="s">
        <v>589</v>
      </c>
      <c r="C245" s="93">
        <v>-117200</v>
      </c>
      <c r="D245" s="51">
        <f t="shared" si="10"/>
        <v>30547638</v>
      </c>
      <c r="E245" s="36" t="s">
        <v>578</v>
      </c>
      <c r="F245" s="62"/>
      <c r="G245" s="59"/>
      <c r="H245" s="59"/>
      <c r="I245" s="59"/>
      <c r="J245" s="59"/>
      <c r="K245" s="59">
        <f t="shared" si="9"/>
        <v>-117200</v>
      </c>
      <c r="L245" s="2">
        <f t="shared" si="11"/>
        <v>0</v>
      </c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>
      <c r="A246" s="354"/>
      <c r="B246" s="72" t="s">
        <v>1024</v>
      </c>
      <c r="C246" s="93">
        <v>-65000</v>
      </c>
      <c r="D246" s="51">
        <f t="shared" si="10"/>
        <v>30482638</v>
      </c>
      <c r="E246" s="36" t="s">
        <v>578</v>
      </c>
      <c r="F246" s="62"/>
      <c r="G246" s="59"/>
      <c r="H246" s="59"/>
      <c r="I246" s="59"/>
      <c r="J246" s="59"/>
      <c r="K246" s="59">
        <f t="shared" si="9"/>
        <v>-65000</v>
      </c>
      <c r="L246" s="2">
        <f t="shared" si="11"/>
        <v>0</v>
      </c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>
      <c r="A247" s="353">
        <v>45427</v>
      </c>
      <c r="B247" s="72" t="s">
        <v>1025</v>
      </c>
      <c r="C247" s="93">
        <v>2150000</v>
      </c>
      <c r="D247" s="51">
        <f t="shared" si="10"/>
        <v>32632638</v>
      </c>
      <c r="E247" s="36" t="s">
        <v>585</v>
      </c>
      <c r="F247" s="62">
        <f>C247</f>
        <v>2150000</v>
      </c>
      <c r="G247" s="59"/>
      <c r="H247" s="59"/>
      <c r="I247" s="59"/>
      <c r="J247" s="59"/>
      <c r="K247" s="59"/>
      <c r="L247" s="2">
        <f t="shared" si="11"/>
        <v>0</v>
      </c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>
      <c r="B248" s="72" t="s">
        <v>1026</v>
      </c>
      <c r="C248" s="93">
        <v>14100000</v>
      </c>
      <c r="D248" s="51">
        <f t="shared" si="10"/>
        <v>46732638</v>
      </c>
      <c r="E248" s="36" t="s">
        <v>585</v>
      </c>
      <c r="F248" s="62">
        <f>C248</f>
        <v>14100000</v>
      </c>
      <c r="G248" s="59"/>
      <c r="H248" s="59"/>
      <c r="I248" s="59"/>
      <c r="J248" s="59"/>
      <c r="K248" s="59"/>
      <c r="L248" s="2">
        <f t="shared" si="11"/>
        <v>0</v>
      </c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>
      <c r="A249" s="6"/>
      <c r="B249" s="72" t="s">
        <v>577</v>
      </c>
      <c r="C249" s="93">
        <v>-11000</v>
      </c>
      <c r="D249" s="51">
        <f t="shared" si="10"/>
        <v>46721638</v>
      </c>
      <c r="E249" s="36" t="s">
        <v>578</v>
      </c>
      <c r="F249" s="62"/>
      <c r="G249" s="59"/>
      <c r="H249" s="59"/>
      <c r="I249" s="59"/>
      <c r="J249" s="59"/>
      <c r="K249" s="59">
        <f t="shared" ref="K249:K312" si="12">C249</f>
        <v>-11000</v>
      </c>
      <c r="L249" s="2">
        <f t="shared" si="11"/>
        <v>0</v>
      </c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>
      <c r="A250" s="353"/>
      <c r="B250" s="72" t="s">
        <v>1027</v>
      </c>
      <c r="C250" s="93">
        <v>130000</v>
      </c>
      <c r="D250" s="51">
        <f t="shared" si="10"/>
        <v>46851638</v>
      </c>
      <c r="E250" s="36" t="s">
        <v>585</v>
      </c>
      <c r="F250" s="62">
        <f>C250</f>
        <v>130000</v>
      </c>
      <c r="G250" s="59"/>
      <c r="H250" s="59"/>
      <c r="I250" s="59"/>
      <c r="J250" s="59"/>
      <c r="K250" s="59"/>
      <c r="L250" s="2">
        <f t="shared" si="11"/>
        <v>0</v>
      </c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>
      <c r="B251" s="72" t="s">
        <v>1028</v>
      </c>
      <c r="C251" s="93">
        <v>1000000</v>
      </c>
      <c r="D251" s="51">
        <f t="shared" si="10"/>
        <v>47851638</v>
      </c>
      <c r="E251" s="36" t="s">
        <v>61</v>
      </c>
      <c r="F251" s="62"/>
      <c r="G251" s="59"/>
      <c r="H251" s="59"/>
      <c r="I251" s="59">
        <f>C251</f>
        <v>1000000</v>
      </c>
      <c r="J251" s="59"/>
      <c r="K251" s="59"/>
      <c r="L251" s="2">
        <f t="shared" si="11"/>
        <v>0</v>
      </c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>
      <c r="A252" s="353"/>
      <c r="B252" s="72" t="s">
        <v>1029</v>
      </c>
      <c r="C252" s="93"/>
      <c r="D252" s="51">
        <f t="shared" si="10"/>
        <v>47851638</v>
      </c>
      <c r="E252" s="36" t="s">
        <v>61</v>
      </c>
      <c r="F252" s="62"/>
      <c r="G252" s="59"/>
      <c r="H252" s="59"/>
      <c r="I252" s="59"/>
      <c r="J252" s="59"/>
      <c r="K252" s="59">
        <f t="shared" si="12"/>
        <v>0</v>
      </c>
      <c r="L252" s="2">
        <f t="shared" si="11"/>
        <v>0</v>
      </c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>
      <c r="A253" s="353"/>
      <c r="B253" s="72" t="s">
        <v>1030</v>
      </c>
      <c r="C253" s="93">
        <v>-65000</v>
      </c>
      <c r="D253" s="51">
        <f t="shared" si="10"/>
        <v>47786638</v>
      </c>
      <c r="E253" s="36" t="s">
        <v>578</v>
      </c>
      <c r="F253" s="62"/>
      <c r="G253" s="59"/>
      <c r="H253" s="59"/>
      <c r="I253" s="59"/>
      <c r="J253" s="59"/>
      <c r="K253" s="59">
        <f t="shared" si="12"/>
        <v>-65000</v>
      </c>
      <c r="L253" s="2">
        <f t="shared" si="11"/>
        <v>0</v>
      </c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>
      <c r="A254" s="353"/>
      <c r="B254" s="72" t="s">
        <v>1031</v>
      </c>
      <c r="C254" s="93">
        <v>-1260000</v>
      </c>
      <c r="D254" s="51">
        <f t="shared" si="10"/>
        <v>46526638</v>
      </c>
      <c r="E254" s="36" t="s">
        <v>578</v>
      </c>
      <c r="F254" s="62"/>
      <c r="G254" s="59"/>
      <c r="H254" s="59"/>
      <c r="I254" s="59"/>
      <c r="J254" s="59"/>
      <c r="K254" s="59">
        <f t="shared" si="12"/>
        <v>-1260000</v>
      </c>
      <c r="L254" s="2">
        <f t="shared" si="11"/>
        <v>0</v>
      </c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>
      <c r="A255" s="6"/>
      <c r="B255" s="72" t="s">
        <v>591</v>
      </c>
      <c r="C255" s="93">
        <v>-2817500</v>
      </c>
      <c r="D255" s="51">
        <f t="shared" si="10"/>
        <v>43709138</v>
      </c>
      <c r="E255" s="36" t="s">
        <v>578</v>
      </c>
      <c r="F255" s="62"/>
      <c r="G255" s="59"/>
      <c r="H255" s="59"/>
      <c r="I255" s="59"/>
      <c r="J255" s="59"/>
      <c r="K255" s="59">
        <f t="shared" si="12"/>
        <v>-2817500</v>
      </c>
      <c r="L255" s="2">
        <f t="shared" si="11"/>
        <v>0</v>
      </c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>
      <c r="A256" s="353"/>
      <c r="B256" s="72" t="s">
        <v>580</v>
      </c>
      <c r="C256" s="93">
        <v>-30000</v>
      </c>
      <c r="D256" s="51">
        <f t="shared" si="10"/>
        <v>43679138</v>
      </c>
      <c r="E256" s="36" t="s">
        <v>578</v>
      </c>
      <c r="F256" s="62"/>
      <c r="G256" s="59"/>
      <c r="H256" s="59"/>
      <c r="I256" s="59"/>
      <c r="J256" s="59"/>
      <c r="K256" s="59">
        <f t="shared" si="12"/>
        <v>-30000</v>
      </c>
      <c r="L256" s="2">
        <f t="shared" si="11"/>
        <v>0</v>
      </c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>
      <c r="A257" s="353"/>
      <c r="B257" s="72" t="s">
        <v>1032</v>
      </c>
      <c r="C257" s="93">
        <v>-1524500</v>
      </c>
      <c r="D257" s="51">
        <f t="shared" si="10"/>
        <v>42154638</v>
      </c>
      <c r="E257" s="36" t="s">
        <v>578</v>
      </c>
      <c r="F257" s="62"/>
      <c r="G257" s="59"/>
      <c r="H257" s="59"/>
      <c r="I257" s="59"/>
      <c r="J257" s="59"/>
      <c r="K257" s="59">
        <f t="shared" si="12"/>
        <v>-1524500</v>
      </c>
      <c r="L257" s="2">
        <f t="shared" si="11"/>
        <v>0</v>
      </c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>
      <c r="B258" s="72" t="s">
        <v>991</v>
      </c>
      <c r="C258" s="93">
        <v>-210000</v>
      </c>
      <c r="D258" s="51">
        <f t="shared" ref="D258:D321" si="13">SUM(D257,C258)</f>
        <v>41944638</v>
      </c>
      <c r="E258" s="36" t="s">
        <v>578</v>
      </c>
      <c r="F258" s="62"/>
      <c r="G258" s="157"/>
      <c r="H258" s="59"/>
      <c r="I258" s="59"/>
      <c r="J258" s="59"/>
      <c r="K258" s="59">
        <f t="shared" si="12"/>
        <v>-210000</v>
      </c>
      <c r="L258" s="2">
        <f t="shared" si="11"/>
        <v>0</v>
      </c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>
      <c r="A259" s="354"/>
      <c r="B259" s="72" t="s">
        <v>1033</v>
      </c>
      <c r="C259" s="93">
        <v>-10000</v>
      </c>
      <c r="D259" s="51">
        <f t="shared" si="13"/>
        <v>41934638</v>
      </c>
      <c r="E259" s="36" t="s">
        <v>578</v>
      </c>
      <c r="F259" s="62"/>
      <c r="G259" s="59"/>
      <c r="H259" s="59"/>
      <c r="I259" s="59"/>
      <c r="J259" s="59"/>
      <c r="K259" s="59">
        <f t="shared" si="12"/>
        <v>-10000</v>
      </c>
      <c r="L259" s="2">
        <f t="shared" ref="L259:L322" si="14">C259-F259-G259-H259-I259-J259-K259</f>
        <v>0</v>
      </c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>
      <c r="B260" s="72" t="s">
        <v>1034</v>
      </c>
      <c r="C260" s="93">
        <v>-3005000</v>
      </c>
      <c r="D260" s="51">
        <f t="shared" si="13"/>
        <v>38929638</v>
      </c>
      <c r="E260" s="36" t="s">
        <v>578</v>
      </c>
      <c r="F260" s="62"/>
      <c r="G260" s="59"/>
      <c r="H260" s="59"/>
      <c r="I260" s="59"/>
      <c r="J260" s="59"/>
      <c r="K260" s="59">
        <f t="shared" si="12"/>
        <v>-3005000</v>
      </c>
      <c r="L260" s="2">
        <f t="shared" si="14"/>
        <v>0</v>
      </c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>
      <c r="A261" s="91"/>
      <c r="B261" s="72" t="s">
        <v>598</v>
      </c>
      <c r="C261" s="93">
        <v>-100000</v>
      </c>
      <c r="D261" s="51">
        <f t="shared" si="13"/>
        <v>38829638</v>
      </c>
      <c r="E261" s="36" t="s">
        <v>578</v>
      </c>
      <c r="F261" s="62"/>
      <c r="G261" s="59"/>
      <c r="H261" s="59"/>
      <c r="I261" s="59"/>
      <c r="J261" s="59"/>
      <c r="K261" s="59">
        <f t="shared" si="12"/>
        <v>-100000</v>
      </c>
      <c r="L261" s="2">
        <f t="shared" si="14"/>
        <v>0</v>
      </c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>
      <c r="B262" s="72" t="s">
        <v>1035</v>
      </c>
      <c r="C262" s="93">
        <v>-75000</v>
      </c>
      <c r="D262" s="51">
        <f t="shared" si="13"/>
        <v>38754638</v>
      </c>
      <c r="E262" s="36" t="s">
        <v>578</v>
      </c>
      <c r="F262" s="62"/>
      <c r="G262" s="59"/>
      <c r="H262" s="59"/>
      <c r="I262" s="59"/>
      <c r="J262" s="59"/>
      <c r="K262" s="59">
        <f t="shared" si="12"/>
        <v>-75000</v>
      </c>
      <c r="L262" s="2">
        <f t="shared" si="14"/>
        <v>0</v>
      </c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>
      <c r="A263" s="354"/>
      <c r="B263" s="72" t="s">
        <v>591</v>
      </c>
      <c r="C263" s="93">
        <v>-65500</v>
      </c>
      <c r="D263" s="51">
        <f t="shared" si="13"/>
        <v>38689138</v>
      </c>
      <c r="E263" s="36" t="s">
        <v>578</v>
      </c>
      <c r="F263" s="62"/>
      <c r="G263" s="59"/>
      <c r="H263" s="59"/>
      <c r="I263" s="59"/>
      <c r="J263" s="59"/>
      <c r="K263" s="59">
        <f t="shared" si="12"/>
        <v>-65500</v>
      </c>
      <c r="L263" s="2">
        <f t="shared" si="14"/>
        <v>0</v>
      </c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>
      <c r="B264" s="72" t="s">
        <v>591</v>
      </c>
      <c r="C264" s="93">
        <v>-2040000</v>
      </c>
      <c r="D264" s="51">
        <f t="shared" si="13"/>
        <v>36649138</v>
      </c>
      <c r="E264" s="36" t="s">
        <v>578</v>
      </c>
      <c r="F264" s="62"/>
      <c r="G264" s="59"/>
      <c r="H264" s="59"/>
      <c r="I264" s="59"/>
      <c r="J264" s="59"/>
      <c r="K264" s="59">
        <f t="shared" si="12"/>
        <v>-2040000</v>
      </c>
      <c r="L264" s="2">
        <f t="shared" si="14"/>
        <v>0</v>
      </c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>
      <c r="A265" s="354"/>
      <c r="B265" s="72" t="s">
        <v>1036</v>
      </c>
      <c r="C265" s="93">
        <v>-1045000</v>
      </c>
      <c r="D265" s="51">
        <f t="shared" si="13"/>
        <v>35604138</v>
      </c>
      <c r="E265" s="36" t="s">
        <v>578</v>
      </c>
      <c r="F265" s="62"/>
      <c r="G265" s="59"/>
      <c r="H265" s="59"/>
      <c r="I265" s="59"/>
      <c r="J265" s="59"/>
      <c r="K265" s="59">
        <f t="shared" si="12"/>
        <v>-1045000</v>
      </c>
      <c r="L265" s="2">
        <f t="shared" si="14"/>
        <v>0</v>
      </c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>
      <c r="B266" s="72" t="s">
        <v>1037</v>
      </c>
      <c r="C266" s="93">
        <v>-37000</v>
      </c>
      <c r="D266" s="51">
        <f t="shared" si="13"/>
        <v>35567138</v>
      </c>
      <c r="E266" s="36" t="s">
        <v>578</v>
      </c>
      <c r="F266" s="62"/>
      <c r="G266" s="59"/>
      <c r="H266" s="59"/>
      <c r="I266" s="59"/>
      <c r="J266" s="59"/>
      <c r="K266" s="59">
        <f t="shared" si="12"/>
        <v>-37000</v>
      </c>
      <c r="L266" s="2">
        <f t="shared" si="14"/>
        <v>0</v>
      </c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>
      <c r="A267" s="354"/>
      <c r="B267" s="72" t="s">
        <v>1038</v>
      </c>
      <c r="C267" s="93">
        <v>21220000</v>
      </c>
      <c r="D267" s="51">
        <f t="shared" si="13"/>
        <v>56787138</v>
      </c>
      <c r="E267" s="36" t="s">
        <v>585</v>
      </c>
      <c r="F267" s="62">
        <f>C267</f>
        <v>21220000</v>
      </c>
      <c r="G267" s="59"/>
      <c r="H267" s="59"/>
      <c r="I267" s="59"/>
      <c r="J267" s="59"/>
      <c r="K267" s="59"/>
      <c r="L267" s="2">
        <f t="shared" si="14"/>
        <v>0</v>
      </c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>
      <c r="A268" s="354"/>
      <c r="B268" s="72" t="s">
        <v>1039</v>
      </c>
      <c r="C268" s="93">
        <v>-80000</v>
      </c>
      <c r="D268" s="51">
        <f t="shared" si="13"/>
        <v>56707138</v>
      </c>
      <c r="E268" s="36" t="s">
        <v>578</v>
      </c>
      <c r="F268" s="62"/>
      <c r="G268" s="59"/>
      <c r="H268" s="59"/>
      <c r="I268" s="59"/>
      <c r="J268" s="59"/>
      <c r="K268" s="59">
        <f t="shared" si="12"/>
        <v>-80000</v>
      </c>
      <c r="L268" s="2">
        <f t="shared" si="14"/>
        <v>0</v>
      </c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>
      <c r="B269" s="72" t="s">
        <v>1040</v>
      </c>
      <c r="C269" s="93">
        <v>-65000</v>
      </c>
      <c r="D269" s="51">
        <f t="shared" si="13"/>
        <v>56642138</v>
      </c>
      <c r="E269" s="36" t="s">
        <v>578</v>
      </c>
      <c r="F269" s="62"/>
      <c r="G269" s="59"/>
      <c r="H269" s="59"/>
      <c r="I269" s="59"/>
      <c r="J269" s="59"/>
      <c r="K269" s="59">
        <f t="shared" si="12"/>
        <v>-65000</v>
      </c>
      <c r="L269" s="2">
        <f t="shared" si="14"/>
        <v>0</v>
      </c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>
      <c r="A270" s="353"/>
      <c r="B270" s="72" t="s">
        <v>1041</v>
      </c>
      <c r="C270" s="93">
        <v>-120000</v>
      </c>
      <c r="D270" s="51">
        <f t="shared" si="13"/>
        <v>56522138</v>
      </c>
      <c r="E270" s="36" t="s">
        <v>578</v>
      </c>
      <c r="F270" s="62"/>
      <c r="G270" s="59"/>
      <c r="H270" s="59"/>
      <c r="I270" s="59"/>
      <c r="J270" s="59"/>
      <c r="K270" s="59">
        <f t="shared" si="12"/>
        <v>-120000</v>
      </c>
      <c r="L270" s="2">
        <f t="shared" si="14"/>
        <v>0</v>
      </c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>
      <c r="A271" s="6"/>
      <c r="B271" s="72" t="s">
        <v>1042</v>
      </c>
      <c r="C271" s="93">
        <v>-700000</v>
      </c>
      <c r="D271" s="51">
        <f t="shared" si="13"/>
        <v>55822138</v>
      </c>
      <c r="E271" s="36" t="s">
        <v>578</v>
      </c>
      <c r="F271" s="62"/>
      <c r="G271" s="59"/>
      <c r="H271" s="59"/>
      <c r="I271" s="59"/>
      <c r="J271" s="59"/>
      <c r="K271" s="59">
        <f t="shared" si="12"/>
        <v>-700000</v>
      </c>
      <c r="L271" s="2">
        <f t="shared" si="14"/>
        <v>0</v>
      </c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>
      <c r="A272" s="353">
        <v>45428</v>
      </c>
      <c r="B272" s="72" t="s">
        <v>584</v>
      </c>
      <c r="C272" s="93">
        <v>-595000</v>
      </c>
      <c r="D272" s="51">
        <f t="shared" si="13"/>
        <v>55227138</v>
      </c>
      <c r="E272" s="36" t="s">
        <v>578</v>
      </c>
      <c r="F272" s="62"/>
      <c r="G272" s="59"/>
      <c r="H272" s="59"/>
      <c r="I272" s="59"/>
      <c r="J272" s="59"/>
      <c r="K272" s="59">
        <f t="shared" si="12"/>
        <v>-595000</v>
      </c>
      <c r="L272" s="2">
        <f t="shared" si="14"/>
        <v>0</v>
      </c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>
      <c r="A273" s="6"/>
      <c r="B273" s="72" t="s">
        <v>1043</v>
      </c>
      <c r="C273" s="93">
        <v>-240000</v>
      </c>
      <c r="D273" s="51">
        <f t="shared" si="13"/>
        <v>54987138</v>
      </c>
      <c r="E273" s="36" t="s">
        <v>578</v>
      </c>
      <c r="F273" s="62"/>
      <c r="G273" s="59"/>
      <c r="H273" s="59"/>
      <c r="I273" s="59"/>
      <c r="J273" s="59"/>
      <c r="K273" s="59">
        <f t="shared" si="12"/>
        <v>-240000</v>
      </c>
      <c r="L273" s="2">
        <f t="shared" si="14"/>
        <v>0</v>
      </c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>
      <c r="A274" s="6"/>
      <c r="B274" s="72" t="s">
        <v>577</v>
      </c>
      <c r="C274" s="93">
        <v>-11000</v>
      </c>
      <c r="D274" s="51">
        <f t="shared" si="13"/>
        <v>54976138</v>
      </c>
      <c r="E274" s="36" t="s">
        <v>578</v>
      </c>
      <c r="F274" s="62"/>
      <c r="G274" s="59"/>
      <c r="H274" s="59"/>
      <c r="I274" s="59"/>
      <c r="J274" s="59"/>
      <c r="K274" s="59">
        <f t="shared" si="12"/>
        <v>-11000</v>
      </c>
      <c r="L274" s="2">
        <f t="shared" si="14"/>
        <v>0</v>
      </c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>
      <c r="A275" s="6"/>
      <c r="B275" s="72" t="s">
        <v>1044</v>
      </c>
      <c r="C275" s="93">
        <v>6950000</v>
      </c>
      <c r="D275" s="51">
        <f t="shared" si="13"/>
        <v>61926138</v>
      </c>
      <c r="E275" s="36" t="s">
        <v>585</v>
      </c>
      <c r="F275" s="62">
        <f>C275</f>
        <v>6950000</v>
      </c>
      <c r="G275" s="59"/>
      <c r="H275" s="59"/>
      <c r="I275" s="59"/>
      <c r="J275" s="59"/>
      <c r="K275" s="59"/>
      <c r="L275" s="2">
        <f t="shared" si="14"/>
        <v>0</v>
      </c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>
      <c r="A276" s="353"/>
      <c r="B276" s="72" t="s">
        <v>1045</v>
      </c>
      <c r="C276" s="93">
        <v>-413000</v>
      </c>
      <c r="D276" s="51">
        <f t="shared" si="13"/>
        <v>61513138</v>
      </c>
      <c r="E276" s="36" t="s">
        <v>578</v>
      </c>
      <c r="F276" s="62"/>
      <c r="G276" s="59"/>
      <c r="H276" s="59"/>
      <c r="I276" s="59"/>
      <c r="J276" s="59"/>
      <c r="K276" s="59">
        <f t="shared" si="12"/>
        <v>-413000</v>
      </c>
      <c r="L276" s="2">
        <f t="shared" si="14"/>
        <v>0</v>
      </c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>
      <c r="A277" s="353"/>
      <c r="B277" s="72" t="s">
        <v>1046</v>
      </c>
      <c r="C277" s="93">
        <v>-700000</v>
      </c>
      <c r="D277" s="51">
        <f t="shared" si="13"/>
        <v>60813138</v>
      </c>
      <c r="E277" s="36" t="s">
        <v>578</v>
      </c>
      <c r="F277" s="62"/>
      <c r="G277" s="59"/>
      <c r="H277" s="59"/>
      <c r="I277" s="59"/>
      <c r="J277" s="59"/>
      <c r="K277" s="59">
        <f t="shared" si="12"/>
        <v>-700000</v>
      </c>
      <c r="L277" s="2">
        <f t="shared" si="14"/>
        <v>0</v>
      </c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>
      <c r="A278" s="354"/>
      <c r="B278" s="72" t="s">
        <v>591</v>
      </c>
      <c r="C278" s="93">
        <v>-2942000</v>
      </c>
      <c r="D278" s="51">
        <f t="shared" si="13"/>
        <v>57871138</v>
      </c>
      <c r="E278" s="36" t="s">
        <v>578</v>
      </c>
      <c r="F278" s="62"/>
      <c r="G278" s="59"/>
      <c r="H278" s="59"/>
      <c r="I278" s="59"/>
      <c r="J278" s="59"/>
      <c r="K278" s="59">
        <f t="shared" si="12"/>
        <v>-2942000</v>
      </c>
      <c r="L278" s="2">
        <f t="shared" si="14"/>
        <v>0</v>
      </c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>
      <c r="A279" s="354"/>
      <c r="B279" s="72" t="s">
        <v>603</v>
      </c>
      <c r="C279" s="93">
        <v>-40000000</v>
      </c>
      <c r="D279" s="51">
        <f t="shared" si="13"/>
        <v>17871138</v>
      </c>
      <c r="E279" s="36" t="s">
        <v>583</v>
      </c>
      <c r="F279" s="62"/>
      <c r="G279" s="59"/>
      <c r="H279" s="59"/>
      <c r="I279" s="59"/>
      <c r="J279" s="59">
        <f>C279</f>
        <v>-40000000</v>
      </c>
      <c r="K279" s="59"/>
      <c r="L279" s="2">
        <f t="shared" si="14"/>
        <v>0</v>
      </c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>
      <c r="A280" s="354"/>
      <c r="B280" s="72" t="s">
        <v>1047</v>
      </c>
      <c r="C280" s="93">
        <v>8380000</v>
      </c>
      <c r="D280" s="51">
        <f t="shared" si="13"/>
        <v>26251138</v>
      </c>
      <c r="E280" s="36" t="s">
        <v>585</v>
      </c>
      <c r="F280" s="62">
        <f>C280</f>
        <v>8380000</v>
      </c>
      <c r="G280" s="59"/>
      <c r="H280" s="59"/>
      <c r="I280" s="59"/>
      <c r="J280" s="59"/>
      <c r="K280" s="59"/>
      <c r="L280" s="2">
        <f t="shared" si="14"/>
        <v>0</v>
      </c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>
      <c r="B281" s="72" t="s">
        <v>1048</v>
      </c>
      <c r="C281" s="93">
        <v>-300000</v>
      </c>
      <c r="D281" s="51">
        <f t="shared" si="13"/>
        <v>25951138</v>
      </c>
      <c r="E281" s="36" t="s">
        <v>578</v>
      </c>
      <c r="F281" s="62"/>
      <c r="G281" s="59"/>
      <c r="H281" s="59"/>
      <c r="I281" s="59"/>
      <c r="J281" s="59"/>
      <c r="K281" s="59">
        <f t="shared" si="12"/>
        <v>-300000</v>
      </c>
      <c r="L281" s="2">
        <f t="shared" si="14"/>
        <v>0</v>
      </c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>
      <c r="A282" s="354"/>
      <c r="B282" s="72" t="s">
        <v>605</v>
      </c>
      <c r="C282" s="93">
        <v>-170000</v>
      </c>
      <c r="D282" s="51">
        <f t="shared" si="13"/>
        <v>25781138</v>
      </c>
      <c r="E282" s="36" t="s">
        <v>578</v>
      </c>
      <c r="F282" s="62"/>
      <c r="G282" s="59"/>
      <c r="H282" s="59"/>
      <c r="I282" s="59"/>
      <c r="J282" s="59"/>
      <c r="K282" s="59">
        <f t="shared" si="12"/>
        <v>-170000</v>
      </c>
      <c r="L282" s="2">
        <f t="shared" si="14"/>
        <v>0</v>
      </c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>
      <c r="B283" s="72" t="s">
        <v>1049</v>
      </c>
      <c r="C283" s="93">
        <v>-89300</v>
      </c>
      <c r="D283" s="51">
        <f t="shared" si="13"/>
        <v>25691838</v>
      </c>
      <c r="E283" s="36" t="s">
        <v>578</v>
      </c>
      <c r="F283" s="62"/>
      <c r="G283" s="59"/>
      <c r="H283" s="59"/>
      <c r="I283" s="59"/>
      <c r="J283" s="59"/>
      <c r="K283" s="59">
        <f t="shared" si="12"/>
        <v>-89300</v>
      </c>
      <c r="L283" s="2">
        <f t="shared" si="14"/>
        <v>0</v>
      </c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>
      <c r="A284" s="353"/>
      <c r="B284" s="72" t="s">
        <v>1050</v>
      </c>
      <c r="C284" s="93">
        <v>4900000</v>
      </c>
      <c r="D284" s="51">
        <f t="shared" si="13"/>
        <v>30591838</v>
      </c>
      <c r="E284" s="36" t="s">
        <v>585</v>
      </c>
      <c r="F284" s="62">
        <f>C284</f>
        <v>4900000</v>
      </c>
      <c r="G284" s="59"/>
      <c r="H284" s="59"/>
      <c r="I284" s="59"/>
      <c r="J284" s="59"/>
      <c r="K284" s="59"/>
      <c r="L284" s="2">
        <f t="shared" si="14"/>
        <v>0</v>
      </c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>
      <c r="A285" s="353"/>
      <c r="B285" s="72" t="s">
        <v>1051</v>
      </c>
      <c r="C285" s="93">
        <v>-105625</v>
      </c>
      <c r="D285" s="51">
        <f t="shared" si="13"/>
        <v>30486213</v>
      </c>
      <c r="E285" s="36" t="s">
        <v>578</v>
      </c>
      <c r="F285" s="62"/>
      <c r="G285" s="59"/>
      <c r="H285" s="59"/>
      <c r="I285" s="59"/>
      <c r="J285" s="59"/>
      <c r="K285" s="59">
        <f t="shared" si="12"/>
        <v>-105625</v>
      </c>
      <c r="L285" s="2">
        <f t="shared" si="14"/>
        <v>0</v>
      </c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>
      <c r="A286" s="91"/>
      <c r="B286" s="72" t="s">
        <v>18</v>
      </c>
      <c r="C286" s="93">
        <v>100000</v>
      </c>
      <c r="D286" s="51">
        <f t="shared" si="13"/>
        <v>30586213</v>
      </c>
      <c r="E286" s="36" t="s">
        <v>1</v>
      </c>
      <c r="F286" s="62"/>
      <c r="G286" s="59"/>
      <c r="H286" s="59">
        <f>C286</f>
        <v>100000</v>
      </c>
      <c r="I286" s="59"/>
      <c r="J286" s="59"/>
      <c r="K286" s="59"/>
      <c r="L286" s="2">
        <f t="shared" si="14"/>
        <v>0</v>
      </c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>
      <c r="B287" s="72" t="s">
        <v>1052</v>
      </c>
      <c r="C287" s="93">
        <v>-65000</v>
      </c>
      <c r="D287" s="51">
        <f t="shared" si="13"/>
        <v>30521213</v>
      </c>
      <c r="E287" s="36" t="s">
        <v>578</v>
      </c>
      <c r="F287" s="62"/>
      <c r="G287" s="59"/>
      <c r="H287" s="59"/>
      <c r="I287" s="59"/>
      <c r="J287" s="59"/>
      <c r="K287" s="59">
        <f t="shared" si="12"/>
        <v>-65000</v>
      </c>
      <c r="L287" s="2">
        <f t="shared" si="14"/>
        <v>0</v>
      </c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>
      <c r="A288" s="353"/>
      <c r="B288" s="72" t="s">
        <v>1053</v>
      </c>
      <c r="C288" s="93">
        <v>5600000</v>
      </c>
      <c r="D288" s="51">
        <f t="shared" si="13"/>
        <v>36121213</v>
      </c>
      <c r="E288" s="36" t="s">
        <v>585</v>
      </c>
      <c r="F288" s="62">
        <f>C288</f>
        <v>5600000</v>
      </c>
      <c r="G288" s="59"/>
      <c r="H288" s="59"/>
      <c r="I288" s="59"/>
      <c r="J288" s="59"/>
      <c r="K288" s="59"/>
      <c r="L288" s="2">
        <f t="shared" si="14"/>
        <v>0</v>
      </c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>
      <c r="A289" s="354"/>
      <c r="B289" s="72" t="s">
        <v>1042</v>
      </c>
      <c r="C289" s="93">
        <v>-700000</v>
      </c>
      <c r="D289" s="51">
        <f t="shared" si="13"/>
        <v>35421213</v>
      </c>
      <c r="E289" s="36" t="s">
        <v>578</v>
      </c>
      <c r="F289" s="62"/>
      <c r="G289" s="59"/>
      <c r="H289" s="59"/>
      <c r="I289" s="59"/>
      <c r="J289" s="59"/>
      <c r="K289" s="59">
        <f t="shared" si="12"/>
        <v>-700000</v>
      </c>
      <c r="L289" s="2">
        <f t="shared" si="14"/>
        <v>0</v>
      </c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>
      <c r="A290" s="353">
        <v>45429</v>
      </c>
      <c r="B290" s="72" t="s">
        <v>577</v>
      </c>
      <c r="C290" s="93">
        <v>-11000</v>
      </c>
      <c r="D290" s="51">
        <f t="shared" si="13"/>
        <v>35410213</v>
      </c>
      <c r="E290" s="36" t="s">
        <v>578</v>
      </c>
      <c r="F290" s="62"/>
      <c r="G290" s="59"/>
      <c r="H290" s="59"/>
      <c r="I290" s="59"/>
      <c r="J290" s="59"/>
      <c r="K290" s="59">
        <f t="shared" si="12"/>
        <v>-11000</v>
      </c>
      <c r="L290" s="2">
        <f t="shared" si="14"/>
        <v>0</v>
      </c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>
      <c r="B291" s="72" t="s">
        <v>1054</v>
      </c>
      <c r="C291" s="93">
        <v>-425000</v>
      </c>
      <c r="D291" s="51">
        <f t="shared" si="13"/>
        <v>34985213</v>
      </c>
      <c r="E291" s="36" t="s">
        <v>578</v>
      </c>
      <c r="F291" s="62"/>
      <c r="G291" s="59"/>
      <c r="H291" s="59"/>
      <c r="I291" s="59"/>
      <c r="J291" s="59"/>
      <c r="K291" s="59">
        <f t="shared" si="12"/>
        <v>-425000</v>
      </c>
      <c r="L291" s="2">
        <f t="shared" si="14"/>
        <v>0</v>
      </c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>
      <c r="A292" s="6"/>
      <c r="B292" s="72" t="s">
        <v>584</v>
      </c>
      <c r="C292" s="93">
        <v>-1214000</v>
      </c>
      <c r="D292" s="51">
        <f t="shared" si="13"/>
        <v>33771213</v>
      </c>
      <c r="E292" s="36" t="s">
        <v>578</v>
      </c>
      <c r="F292" s="62"/>
      <c r="G292" s="59"/>
      <c r="H292" s="59"/>
      <c r="I292" s="59"/>
      <c r="J292" s="59"/>
      <c r="K292" s="59">
        <f t="shared" si="12"/>
        <v>-1214000</v>
      </c>
      <c r="L292" s="2">
        <f t="shared" si="14"/>
        <v>0</v>
      </c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>
      <c r="A293" s="354"/>
      <c r="B293" s="72" t="s">
        <v>1055</v>
      </c>
      <c r="C293" s="93">
        <v>-40000</v>
      </c>
      <c r="D293" s="51">
        <f t="shared" si="13"/>
        <v>33731213</v>
      </c>
      <c r="E293" s="36" t="s">
        <v>578</v>
      </c>
      <c r="F293" s="62"/>
      <c r="G293" s="59"/>
      <c r="H293" s="59"/>
      <c r="I293" s="59"/>
      <c r="J293" s="59"/>
      <c r="K293" s="59">
        <f t="shared" si="12"/>
        <v>-40000</v>
      </c>
      <c r="L293" s="2">
        <f t="shared" si="14"/>
        <v>0</v>
      </c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>
      <c r="B294" s="72" t="s">
        <v>1056</v>
      </c>
      <c r="C294" s="93">
        <v>-20000</v>
      </c>
      <c r="D294" s="51">
        <f t="shared" si="13"/>
        <v>33711213</v>
      </c>
      <c r="E294" s="36" t="s">
        <v>578</v>
      </c>
      <c r="F294" s="62"/>
      <c r="G294" s="59"/>
      <c r="H294" s="59"/>
      <c r="I294" s="59"/>
      <c r="J294" s="59"/>
      <c r="K294" s="59">
        <f t="shared" si="12"/>
        <v>-20000</v>
      </c>
      <c r="L294" s="2">
        <f t="shared" si="14"/>
        <v>0</v>
      </c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>
      <c r="A295" s="91"/>
      <c r="B295" s="72" t="s">
        <v>582</v>
      </c>
      <c r="C295" s="93">
        <v>-134625</v>
      </c>
      <c r="D295" s="51">
        <f t="shared" si="13"/>
        <v>33576588</v>
      </c>
      <c r="E295" s="36" t="s">
        <v>578</v>
      </c>
      <c r="F295" s="62"/>
      <c r="G295" s="59"/>
      <c r="H295" s="59"/>
      <c r="I295" s="59"/>
      <c r="J295" s="59"/>
      <c r="K295" s="59">
        <f t="shared" si="12"/>
        <v>-134625</v>
      </c>
      <c r="L295" s="2">
        <f t="shared" si="14"/>
        <v>0</v>
      </c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>
      <c r="A296" s="6"/>
      <c r="B296" s="72" t="s">
        <v>1057</v>
      </c>
      <c r="C296" s="93">
        <v>1600000</v>
      </c>
      <c r="D296" s="51">
        <f t="shared" si="13"/>
        <v>35176588</v>
      </c>
      <c r="E296" s="36" t="s">
        <v>61</v>
      </c>
      <c r="F296" s="62"/>
      <c r="G296" s="59"/>
      <c r="H296" s="59"/>
      <c r="I296" s="59">
        <f>C296</f>
        <v>1600000</v>
      </c>
      <c r="J296" s="59"/>
      <c r="K296" s="59"/>
      <c r="L296" s="2">
        <f t="shared" si="14"/>
        <v>0</v>
      </c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>
      <c r="A297" s="6"/>
      <c r="B297" s="72" t="s">
        <v>1058</v>
      </c>
      <c r="C297" s="93">
        <v>-4548500</v>
      </c>
      <c r="D297" s="51">
        <f t="shared" si="13"/>
        <v>30628088</v>
      </c>
      <c r="E297" s="36" t="s">
        <v>578</v>
      </c>
      <c r="F297" s="62"/>
      <c r="G297" s="59"/>
      <c r="H297" s="59"/>
      <c r="I297" s="59"/>
      <c r="J297" s="59"/>
      <c r="K297" s="59">
        <f t="shared" si="12"/>
        <v>-4548500</v>
      </c>
      <c r="L297" s="2">
        <f t="shared" si="14"/>
        <v>0</v>
      </c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>
      <c r="A298" s="91"/>
      <c r="B298" s="72" t="s">
        <v>951</v>
      </c>
      <c r="C298" s="93">
        <v>-700000</v>
      </c>
      <c r="D298" s="51">
        <f t="shared" si="13"/>
        <v>29928088</v>
      </c>
      <c r="E298" s="36" t="s">
        <v>578</v>
      </c>
      <c r="F298" s="62"/>
      <c r="G298" s="59"/>
      <c r="H298" s="59"/>
      <c r="I298" s="59"/>
      <c r="J298" s="59"/>
      <c r="K298" s="59">
        <f t="shared" si="12"/>
        <v>-700000</v>
      </c>
      <c r="L298" s="2">
        <f t="shared" si="14"/>
        <v>0</v>
      </c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>
      <c r="A299" s="6"/>
      <c r="B299" s="72" t="s">
        <v>606</v>
      </c>
      <c r="C299" s="93">
        <v>-715000</v>
      </c>
      <c r="D299" s="51">
        <f t="shared" si="13"/>
        <v>29213088</v>
      </c>
      <c r="E299" s="36" t="s">
        <v>578</v>
      </c>
      <c r="F299" s="62"/>
      <c r="G299" s="59"/>
      <c r="H299" s="59"/>
      <c r="I299" s="59"/>
      <c r="J299" s="59"/>
      <c r="K299" s="59">
        <f t="shared" si="12"/>
        <v>-715000</v>
      </c>
      <c r="L299" s="2">
        <f t="shared" si="14"/>
        <v>0</v>
      </c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>
      <c r="A300" s="354"/>
      <c r="B300" s="72" t="s">
        <v>594</v>
      </c>
      <c r="C300" s="93">
        <v>-423000</v>
      </c>
      <c r="D300" s="51">
        <f t="shared" si="13"/>
        <v>28790088</v>
      </c>
      <c r="E300" s="36" t="s">
        <v>578</v>
      </c>
      <c r="F300" s="62"/>
      <c r="G300" s="59"/>
      <c r="H300" s="59"/>
      <c r="I300" s="59"/>
      <c r="J300" s="59"/>
      <c r="K300" s="59">
        <f t="shared" si="12"/>
        <v>-423000</v>
      </c>
      <c r="L300" s="2">
        <f t="shared" si="14"/>
        <v>0</v>
      </c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>
      <c r="A301" s="353"/>
      <c r="B301" s="72" t="s">
        <v>1059</v>
      </c>
      <c r="C301" s="93">
        <v>8390000</v>
      </c>
      <c r="D301" s="51">
        <f t="shared" si="13"/>
        <v>37180088</v>
      </c>
      <c r="E301" s="36" t="s">
        <v>585</v>
      </c>
      <c r="F301" s="62">
        <f>C301</f>
        <v>8390000</v>
      </c>
      <c r="G301" s="59"/>
      <c r="H301" s="59"/>
      <c r="I301" s="59"/>
      <c r="J301" s="59"/>
      <c r="K301" s="59"/>
      <c r="L301" s="2">
        <f t="shared" si="14"/>
        <v>0</v>
      </c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>
      <c r="B302" s="72" t="s">
        <v>1060</v>
      </c>
      <c r="C302" s="93">
        <v>-89000</v>
      </c>
      <c r="D302" s="51">
        <f t="shared" si="13"/>
        <v>37091088</v>
      </c>
      <c r="E302" s="36" t="s">
        <v>578</v>
      </c>
      <c r="F302" s="62"/>
      <c r="G302" s="59"/>
      <c r="H302" s="59"/>
      <c r="I302" s="59"/>
      <c r="J302" s="59"/>
      <c r="K302" s="59">
        <f t="shared" si="12"/>
        <v>-89000</v>
      </c>
      <c r="L302" s="2">
        <f t="shared" si="14"/>
        <v>0</v>
      </c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>
      <c r="A303" s="354"/>
      <c r="B303" s="72" t="s">
        <v>1061</v>
      </c>
      <c r="C303" s="93">
        <v>-99000</v>
      </c>
      <c r="D303" s="51">
        <f t="shared" si="13"/>
        <v>36992088</v>
      </c>
      <c r="E303" s="36" t="s">
        <v>578</v>
      </c>
      <c r="F303" s="62"/>
      <c r="G303" s="59"/>
      <c r="H303" s="59"/>
      <c r="I303" s="59"/>
      <c r="J303" s="59"/>
      <c r="K303" s="59">
        <f t="shared" si="12"/>
        <v>-99000</v>
      </c>
      <c r="L303" s="2">
        <f t="shared" si="14"/>
        <v>0</v>
      </c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>
      <c r="A304" s="354"/>
      <c r="B304" s="72" t="s">
        <v>18</v>
      </c>
      <c r="C304" s="93">
        <v>200000</v>
      </c>
      <c r="D304" s="51">
        <f t="shared" si="13"/>
        <v>37192088</v>
      </c>
      <c r="E304" s="36" t="s">
        <v>1</v>
      </c>
      <c r="F304" s="62"/>
      <c r="G304" s="59"/>
      <c r="H304" s="59">
        <f>C304</f>
        <v>200000</v>
      </c>
      <c r="I304" s="59"/>
      <c r="J304" s="59"/>
      <c r="K304" s="59"/>
      <c r="L304" s="2">
        <f t="shared" si="14"/>
        <v>0</v>
      </c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>
      <c r="A305" s="354"/>
      <c r="B305" s="72" t="s">
        <v>1062</v>
      </c>
      <c r="C305" s="93">
        <v>-120000</v>
      </c>
      <c r="D305" s="51">
        <f t="shared" si="13"/>
        <v>37072088</v>
      </c>
      <c r="E305" s="36" t="s">
        <v>578</v>
      </c>
      <c r="F305" s="62"/>
      <c r="G305" s="59"/>
      <c r="H305" s="59"/>
      <c r="I305" s="59"/>
      <c r="J305" s="59"/>
      <c r="K305" s="59">
        <f t="shared" si="12"/>
        <v>-120000</v>
      </c>
      <c r="L305" s="2">
        <f t="shared" si="14"/>
        <v>0</v>
      </c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>
      <c r="B306" s="72" t="s">
        <v>1063</v>
      </c>
      <c r="C306" s="93">
        <v>-65000</v>
      </c>
      <c r="D306" s="51">
        <f t="shared" si="13"/>
        <v>37007088</v>
      </c>
      <c r="E306" s="36" t="s">
        <v>578</v>
      </c>
      <c r="F306" s="62"/>
      <c r="G306" s="59"/>
      <c r="H306" s="59"/>
      <c r="I306" s="59"/>
      <c r="J306" s="59"/>
      <c r="K306" s="59">
        <f t="shared" si="12"/>
        <v>-65000</v>
      </c>
      <c r="L306" s="2">
        <f t="shared" si="14"/>
        <v>0</v>
      </c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>
      <c r="A307" s="91"/>
      <c r="B307" s="72" t="s">
        <v>1064</v>
      </c>
      <c r="C307" s="93">
        <v>-40000</v>
      </c>
      <c r="D307" s="51">
        <f t="shared" si="13"/>
        <v>36967088</v>
      </c>
      <c r="E307" s="36" t="s">
        <v>578</v>
      </c>
      <c r="F307" s="62"/>
      <c r="G307" s="59"/>
      <c r="H307" s="59"/>
      <c r="I307" s="59"/>
      <c r="J307" s="59"/>
      <c r="K307" s="59">
        <f t="shared" si="12"/>
        <v>-40000</v>
      </c>
      <c r="L307" s="2">
        <f t="shared" si="14"/>
        <v>0</v>
      </c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>
      <c r="B308" s="72" t="s">
        <v>1065</v>
      </c>
      <c r="C308" s="93">
        <v>-910000</v>
      </c>
      <c r="D308" s="51">
        <f t="shared" si="13"/>
        <v>36057088</v>
      </c>
      <c r="E308" s="36" t="s">
        <v>578</v>
      </c>
      <c r="F308" s="62"/>
      <c r="G308" s="59"/>
      <c r="H308" s="59"/>
      <c r="I308" s="59"/>
      <c r="J308" s="59"/>
      <c r="K308" s="59">
        <f t="shared" si="12"/>
        <v>-910000</v>
      </c>
      <c r="L308" s="2">
        <f t="shared" si="14"/>
        <v>0</v>
      </c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>
      <c r="A309" s="353"/>
      <c r="B309" s="72" t="s">
        <v>1066</v>
      </c>
      <c r="C309" s="93">
        <v>-80000</v>
      </c>
      <c r="D309" s="51">
        <f t="shared" si="13"/>
        <v>35977088</v>
      </c>
      <c r="E309" s="36" t="s">
        <v>578</v>
      </c>
      <c r="F309" s="62"/>
      <c r="G309" s="59"/>
      <c r="H309" s="59"/>
      <c r="I309" s="59"/>
      <c r="J309" s="59"/>
      <c r="K309" s="59">
        <f t="shared" si="12"/>
        <v>-80000</v>
      </c>
      <c r="L309" s="2">
        <f t="shared" si="14"/>
        <v>0</v>
      </c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>
      <c r="A310" s="354"/>
      <c r="B310" s="72" t="s">
        <v>1067</v>
      </c>
      <c r="C310" s="93">
        <v>10025000</v>
      </c>
      <c r="D310" s="51">
        <f t="shared" si="13"/>
        <v>46002088</v>
      </c>
      <c r="E310" s="36" t="s">
        <v>585</v>
      </c>
      <c r="F310" s="62">
        <f>C310</f>
        <v>10025000</v>
      </c>
      <c r="G310" s="59"/>
      <c r="H310" s="59"/>
      <c r="I310" s="59"/>
      <c r="J310" s="59"/>
      <c r="K310" s="59"/>
      <c r="L310" s="2">
        <f t="shared" si="14"/>
        <v>0</v>
      </c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>
      <c r="A311" s="353"/>
      <c r="B311" s="72" t="s">
        <v>591</v>
      </c>
      <c r="C311" s="93">
        <v>-214000</v>
      </c>
      <c r="D311" s="51">
        <f t="shared" si="13"/>
        <v>45788088</v>
      </c>
      <c r="E311" s="36" t="s">
        <v>578</v>
      </c>
      <c r="F311" s="62"/>
      <c r="G311" s="59"/>
      <c r="H311" s="59"/>
      <c r="I311" s="59"/>
      <c r="J311" s="59"/>
      <c r="K311" s="59">
        <f t="shared" si="12"/>
        <v>-214000</v>
      </c>
      <c r="L311" s="2">
        <f t="shared" si="14"/>
        <v>0</v>
      </c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>
      <c r="A312" s="353">
        <v>45430</v>
      </c>
      <c r="B312" s="72" t="s">
        <v>577</v>
      </c>
      <c r="C312" s="93">
        <v>-11000</v>
      </c>
      <c r="D312" s="51">
        <f t="shared" si="13"/>
        <v>45777088</v>
      </c>
      <c r="E312" s="36" t="s">
        <v>578</v>
      </c>
      <c r="F312" s="62"/>
      <c r="G312" s="59"/>
      <c r="H312" s="59"/>
      <c r="I312" s="59"/>
      <c r="J312" s="59"/>
      <c r="K312" s="59">
        <f t="shared" si="12"/>
        <v>-11000</v>
      </c>
      <c r="L312" s="2">
        <f t="shared" si="14"/>
        <v>0</v>
      </c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>
      <c r="B313" s="72" t="s">
        <v>1068</v>
      </c>
      <c r="C313" s="93">
        <v>-140000</v>
      </c>
      <c r="D313" s="51">
        <f t="shared" si="13"/>
        <v>45637088</v>
      </c>
      <c r="E313" s="36" t="s">
        <v>578</v>
      </c>
      <c r="F313" s="62"/>
      <c r="G313" s="59"/>
      <c r="H313" s="59"/>
      <c r="I313" s="59"/>
      <c r="J313" s="59"/>
      <c r="K313" s="59">
        <f t="shared" ref="K313:K368" si="15">C313</f>
        <v>-140000</v>
      </c>
      <c r="L313" s="2">
        <f t="shared" si="14"/>
        <v>0</v>
      </c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>
      <c r="A314" s="353"/>
      <c r="B314" s="72" t="s">
        <v>1069</v>
      </c>
      <c r="C314" s="93">
        <v>-200000</v>
      </c>
      <c r="D314" s="51">
        <f t="shared" si="13"/>
        <v>45437088</v>
      </c>
      <c r="E314" s="36" t="s">
        <v>578</v>
      </c>
      <c r="F314" s="62"/>
      <c r="G314" s="59"/>
      <c r="H314" s="59"/>
      <c r="I314" s="59"/>
      <c r="J314" s="59"/>
      <c r="K314" s="59">
        <f t="shared" si="15"/>
        <v>-200000</v>
      </c>
      <c r="L314" s="2">
        <f t="shared" si="14"/>
        <v>0</v>
      </c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>
      <c r="A315" s="353"/>
      <c r="B315" s="72" t="s">
        <v>1070</v>
      </c>
      <c r="C315" s="93">
        <v>1000000</v>
      </c>
      <c r="D315" s="51">
        <f t="shared" si="13"/>
        <v>46437088</v>
      </c>
      <c r="E315" s="36" t="s">
        <v>61</v>
      </c>
      <c r="F315" s="62"/>
      <c r="G315" s="59"/>
      <c r="H315" s="59"/>
      <c r="I315" s="59">
        <f>C315</f>
        <v>1000000</v>
      </c>
      <c r="J315" s="59"/>
      <c r="K315" s="59"/>
      <c r="L315" s="2">
        <f t="shared" si="14"/>
        <v>0</v>
      </c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>
      <c r="A316" s="354"/>
      <c r="B316" s="72" t="s">
        <v>591</v>
      </c>
      <c r="C316" s="93">
        <v>-3277000</v>
      </c>
      <c r="D316" s="51">
        <f t="shared" si="13"/>
        <v>43160088</v>
      </c>
      <c r="E316" s="36" t="s">
        <v>578</v>
      </c>
      <c r="F316" s="62"/>
      <c r="G316" s="59"/>
      <c r="H316" s="59"/>
      <c r="I316" s="59"/>
      <c r="J316" s="59"/>
      <c r="K316" s="59">
        <f t="shared" si="15"/>
        <v>-3277000</v>
      </c>
      <c r="L316" s="2">
        <f t="shared" si="14"/>
        <v>0</v>
      </c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>
      <c r="A317" s="6"/>
      <c r="B317" s="72" t="s">
        <v>592</v>
      </c>
      <c r="C317" s="93">
        <v>-10000</v>
      </c>
      <c r="D317" s="51">
        <f t="shared" si="13"/>
        <v>43150088</v>
      </c>
      <c r="E317" s="36" t="s">
        <v>578</v>
      </c>
      <c r="F317" s="62"/>
      <c r="G317" s="59"/>
      <c r="H317" s="59"/>
      <c r="I317" s="59"/>
      <c r="J317" s="59"/>
      <c r="K317" s="59">
        <f t="shared" si="15"/>
        <v>-10000</v>
      </c>
      <c r="L317" s="2">
        <f t="shared" si="14"/>
        <v>0</v>
      </c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>
      <c r="A318" s="353"/>
      <c r="B318" s="72" t="s">
        <v>1071</v>
      </c>
      <c r="C318" s="93">
        <v>-700000</v>
      </c>
      <c r="D318" s="51">
        <f t="shared" si="13"/>
        <v>42450088</v>
      </c>
      <c r="E318" s="36" t="s">
        <v>578</v>
      </c>
      <c r="F318" s="62"/>
      <c r="G318" s="59"/>
      <c r="H318" s="59"/>
      <c r="I318" s="59"/>
      <c r="J318" s="59"/>
      <c r="K318" s="59">
        <f t="shared" si="15"/>
        <v>-700000</v>
      </c>
      <c r="L318" s="2">
        <f t="shared" si="14"/>
        <v>0</v>
      </c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>
      <c r="A319" s="354"/>
      <c r="B319" s="72" t="s">
        <v>582</v>
      </c>
      <c r="C319" s="93">
        <v>-353450</v>
      </c>
      <c r="D319" s="51">
        <f t="shared" si="13"/>
        <v>42096638</v>
      </c>
      <c r="E319" s="36" t="s">
        <v>578</v>
      </c>
      <c r="F319" s="62"/>
      <c r="G319" s="59"/>
      <c r="H319" s="59"/>
      <c r="I319" s="59"/>
      <c r="J319" s="59"/>
      <c r="K319" s="59">
        <f t="shared" si="15"/>
        <v>-353450</v>
      </c>
      <c r="L319" s="2">
        <f t="shared" si="14"/>
        <v>0</v>
      </c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>
      <c r="A320" s="354"/>
      <c r="B320" s="72" t="s">
        <v>1072</v>
      </c>
      <c r="C320" s="93">
        <v>270000</v>
      </c>
      <c r="D320" s="51">
        <f t="shared" si="13"/>
        <v>42366638</v>
      </c>
      <c r="E320" s="36" t="s">
        <v>59</v>
      </c>
      <c r="F320" s="62"/>
      <c r="G320" s="59">
        <f>C320</f>
        <v>270000</v>
      </c>
      <c r="H320" s="59"/>
      <c r="I320" s="59"/>
      <c r="J320" s="59"/>
      <c r="K320" s="59"/>
      <c r="L320" s="2">
        <f t="shared" si="14"/>
        <v>0</v>
      </c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>
      <c r="B321" s="72" t="s">
        <v>1073</v>
      </c>
      <c r="C321" s="93">
        <v>-97500</v>
      </c>
      <c r="D321" s="51">
        <f t="shared" si="13"/>
        <v>42269138</v>
      </c>
      <c r="E321" s="36" t="s">
        <v>578</v>
      </c>
      <c r="F321" s="62"/>
      <c r="G321" s="59"/>
      <c r="H321" s="59"/>
      <c r="I321" s="59"/>
      <c r="J321" s="59"/>
      <c r="K321" s="59">
        <f t="shared" si="15"/>
        <v>-97500</v>
      </c>
      <c r="L321" s="2">
        <f t="shared" si="14"/>
        <v>0</v>
      </c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>
      <c r="A322" s="353"/>
      <c r="B322" s="72" t="s">
        <v>1074</v>
      </c>
      <c r="C322" s="93">
        <v>-150000</v>
      </c>
      <c r="D322" s="51">
        <f t="shared" ref="D322:D385" si="16">SUM(D321,C322)</f>
        <v>42119138</v>
      </c>
      <c r="E322" s="36" t="s">
        <v>578</v>
      </c>
      <c r="F322" s="62"/>
      <c r="G322" s="59"/>
      <c r="H322" s="59"/>
      <c r="I322" s="59"/>
      <c r="J322" s="59"/>
      <c r="K322" s="59">
        <f t="shared" si="15"/>
        <v>-150000</v>
      </c>
      <c r="L322" s="2">
        <f t="shared" si="14"/>
        <v>0</v>
      </c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>
      <c r="A323" s="353"/>
      <c r="B323" s="72" t="s">
        <v>1075</v>
      </c>
      <c r="C323" s="93">
        <v>1140000</v>
      </c>
      <c r="D323" s="51">
        <f t="shared" si="16"/>
        <v>43259138</v>
      </c>
      <c r="E323" s="36" t="s">
        <v>585</v>
      </c>
      <c r="F323" s="62">
        <f>C323</f>
        <v>1140000</v>
      </c>
      <c r="G323" s="59"/>
      <c r="H323" s="59"/>
      <c r="I323" s="59"/>
      <c r="J323" s="59"/>
      <c r="K323" s="59"/>
      <c r="L323" s="2">
        <f t="shared" ref="L323:L386" si="17">C323-F323-G323-H323-I323-J323-K323</f>
        <v>0</v>
      </c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>
      <c r="A324" s="353"/>
      <c r="B324" s="72" t="s">
        <v>1076</v>
      </c>
      <c r="C324" s="93">
        <v>230000</v>
      </c>
      <c r="D324" s="51">
        <f t="shared" si="16"/>
        <v>43489138</v>
      </c>
      <c r="E324" s="36" t="s">
        <v>59</v>
      </c>
      <c r="F324" s="62"/>
      <c r="G324" s="59">
        <f>C324</f>
        <v>230000</v>
      </c>
      <c r="H324" s="59"/>
      <c r="I324" s="59"/>
      <c r="J324" s="59"/>
      <c r="K324" s="59"/>
      <c r="L324" s="2">
        <f t="shared" si="17"/>
        <v>0</v>
      </c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>
      <c r="A325" s="354"/>
      <c r="B325" s="72" t="s">
        <v>1077</v>
      </c>
      <c r="C325" s="93"/>
      <c r="D325" s="51">
        <f t="shared" si="16"/>
        <v>43489138</v>
      </c>
      <c r="E325" s="36" t="s">
        <v>61</v>
      </c>
      <c r="F325" s="62"/>
      <c r="G325" s="59"/>
      <c r="H325" s="59"/>
      <c r="I325" s="59"/>
      <c r="J325" s="59"/>
      <c r="K325" s="59">
        <f t="shared" si="15"/>
        <v>0</v>
      </c>
      <c r="L325" s="2">
        <f t="shared" si="17"/>
        <v>0</v>
      </c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>
      <c r="A326" s="91"/>
      <c r="B326" s="72" t="s">
        <v>1078</v>
      </c>
      <c r="C326" s="93">
        <v>210000</v>
      </c>
      <c r="D326" s="51">
        <f t="shared" si="16"/>
        <v>43699138</v>
      </c>
      <c r="E326" s="36" t="s">
        <v>1</v>
      </c>
      <c r="F326" s="62"/>
      <c r="G326" s="59"/>
      <c r="H326" s="59">
        <f>C326</f>
        <v>210000</v>
      </c>
      <c r="I326" s="59"/>
      <c r="J326" s="59"/>
      <c r="K326" s="59"/>
      <c r="L326" s="2">
        <f t="shared" si="17"/>
        <v>0</v>
      </c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>
      <c r="B327" s="72" t="s">
        <v>1079</v>
      </c>
      <c r="C327" s="93">
        <v>-20000</v>
      </c>
      <c r="D327" s="51">
        <f t="shared" si="16"/>
        <v>43679138</v>
      </c>
      <c r="E327" s="36" t="s">
        <v>578</v>
      </c>
      <c r="F327" s="62"/>
      <c r="G327" s="59"/>
      <c r="H327" s="59"/>
      <c r="I327" s="59"/>
      <c r="J327" s="59"/>
      <c r="K327" s="59">
        <f t="shared" si="15"/>
        <v>-20000</v>
      </c>
      <c r="L327" s="2">
        <f t="shared" si="17"/>
        <v>0</v>
      </c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>
      <c r="B328" s="72" t="s">
        <v>18</v>
      </c>
      <c r="C328" s="93">
        <v>230000</v>
      </c>
      <c r="D328" s="51">
        <f t="shared" si="16"/>
        <v>43909138</v>
      </c>
      <c r="E328" s="36" t="s">
        <v>1</v>
      </c>
      <c r="F328" s="62"/>
      <c r="G328" s="59"/>
      <c r="H328" s="59">
        <f>C328</f>
        <v>230000</v>
      </c>
      <c r="I328" s="59"/>
      <c r="J328" s="59"/>
      <c r="K328" s="59"/>
      <c r="L328" s="2">
        <f t="shared" si="17"/>
        <v>0</v>
      </c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>
      <c r="A329" s="353"/>
      <c r="B329" s="72" t="s">
        <v>18</v>
      </c>
      <c r="C329" s="93">
        <v>50000</v>
      </c>
      <c r="D329" s="51">
        <f t="shared" si="16"/>
        <v>43959138</v>
      </c>
      <c r="E329" s="36" t="s">
        <v>1</v>
      </c>
      <c r="F329" s="62"/>
      <c r="G329" s="59"/>
      <c r="H329" s="59">
        <f>C329</f>
        <v>50000</v>
      </c>
      <c r="I329" s="59"/>
      <c r="J329" s="59"/>
      <c r="K329" s="59"/>
      <c r="L329" s="2">
        <f t="shared" si="17"/>
        <v>0</v>
      </c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>
      <c r="A330" s="353"/>
      <c r="B330" s="72" t="s">
        <v>602</v>
      </c>
      <c r="C330" s="93">
        <v>-10000</v>
      </c>
      <c r="D330" s="51">
        <f t="shared" si="16"/>
        <v>43949138</v>
      </c>
      <c r="E330" s="36" t="s">
        <v>578</v>
      </c>
      <c r="F330" s="62"/>
      <c r="G330" s="59"/>
      <c r="H330" s="59"/>
      <c r="I330" s="59"/>
      <c r="J330" s="59"/>
      <c r="K330" s="59">
        <f t="shared" si="15"/>
        <v>-10000</v>
      </c>
      <c r="L330" s="2">
        <f t="shared" si="17"/>
        <v>0</v>
      </c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>
      <c r="A331" s="353"/>
      <c r="B331" s="72" t="s">
        <v>1080</v>
      </c>
      <c r="C331" s="93">
        <v>-480000</v>
      </c>
      <c r="D331" s="51">
        <f t="shared" si="16"/>
        <v>43469138</v>
      </c>
      <c r="E331" s="36" t="s">
        <v>578</v>
      </c>
      <c r="F331" s="62"/>
      <c r="G331" s="59"/>
      <c r="H331" s="59"/>
      <c r="I331" s="59"/>
      <c r="J331" s="59"/>
      <c r="K331" s="59">
        <f t="shared" si="15"/>
        <v>-480000</v>
      </c>
      <c r="L331" s="2">
        <f t="shared" si="17"/>
        <v>0</v>
      </c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>
      <c r="B332" s="72" t="s">
        <v>1081</v>
      </c>
      <c r="C332" s="93">
        <v>-65000</v>
      </c>
      <c r="D332" s="51">
        <f t="shared" si="16"/>
        <v>43404138</v>
      </c>
      <c r="E332" s="36" t="s">
        <v>578</v>
      </c>
      <c r="F332" s="62"/>
      <c r="G332" s="59"/>
      <c r="H332" s="59"/>
      <c r="I332" s="59"/>
      <c r="J332" s="59"/>
      <c r="K332" s="59">
        <f t="shared" si="15"/>
        <v>-65000</v>
      </c>
      <c r="L332" s="2">
        <f t="shared" si="17"/>
        <v>0</v>
      </c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>
      <c r="A333" s="353"/>
      <c r="B333" s="72" t="s">
        <v>1082</v>
      </c>
      <c r="C333" s="93">
        <v>230000</v>
      </c>
      <c r="D333" s="51">
        <f t="shared" si="16"/>
        <v>43634138</v>
      </c>
      <c r="E333" s="36" t="s">
        <v>59</v>
      </c>
      <c r="F333" s="62"/>
      <c r="G333" s="59">
        <f>C333</f>
        <v>230000</v>
      </c>
      <c r="H333" s="59"/>
      <c r="I333" s="59"/>
      <c r="J333" s="59"/>
      <c r="K333" s="59"/>
      <c r="L333" s="2">
        <f t="shared" si="17"/>
        <v>0</v>
      </c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>
      <c r="A334" s="353"/>
      <c r="B334" s="72" t="s">
        <v>1083</v>
      </c>
      <c r="C334" s="93">
        <v>230000</v>
      </c>
      <c r="D334" s="51">
        <f t="shared" si="16"/>
        <v>43864138</v>
      </c>
      <c r="E334" s="36" t="s">
        <v>59</v>
      </c>
      <c r="F334" s="62"/>
      <c r="G334" s="59">
        <f>C334</f>
        <v>230000</v>
      </c>
      <c r="H334" s="59"/>
      <c r="I334" s="59"/>
      <c r="J334" s="59"/>
      <c r="K334" s="59"/>
      <c r="L334" s="2">
        <f t="shared" si="17"/>
        <v>0</v>
      </c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>
      <c r="A335" s="353">
        <v>45431</v>
      </c>
      <c r="B335" s="72" t="s">
        <v>577</v>
      </c>
      <c r="C335" s="93">
        <v>-11000</v>
      </c>
      <c r="D335" s="51">
        <f t="shared" si="16"/>
        <v>43853138</v>
      </c>
      <c r="E335" s="36" t="s">
        <v>578</v>
      </c>
      <c r="F335" s="62"/>
      <c r="G335" s="59"/>
      <c r="H335" s="59"/>
      <c r="I335" s="59"/>
      <c r="J335" s="59"/>
      <c r="K335" s="59">
        <f t="shared" si="15"/>
        <v>-11000</v>
      </c>
      <c r="L335" s="2">
        <f t="shared" si="17"/>
        <v>0</v>
      </c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>
      <c r="A336" s="6"/>
      <c r="B336" s="72" t="s">
        <v>591</v>
      </c>
      <c r="C336" s="93">
        <v>-989500</v>
      </c>
      <c r="D336" s="51">
        <f t="shared" si="16"/>
        <v>42863638</v>
      </c>
      <c r="E336" s="36" t="s">
        <v>578</v>
      </c>
      <c r="F336" s="62"/>
      <c r="G336" s="59"/>
      <c r="H336" s="59"/>
      <c r="I336" s="59"/>
      <c r="J336" s="59"/>
      <c r="K336" s="59">
        <f t="shared" si="15"/>
        <v>-989500</v>
      </c>
      <c r="L336" s="2">
        <f t="shared" si="17"/>
        <v>0</v>
      </c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>
      <c r="A337" s="6"/>
      <c r="B337" s="72" t="s">
        <v>1084</v>
      </c>
      <c r="C337" s="93">
        <v>-80000</v>
      </c>
      <c r="D337" s="51">
        <f t="shared" si="16"/>
        <v>42783638</v>
      </c>
      <c r="E337" s="36" t="s">
        <v>578</v>
      </c>
      <c r="F337" s="62"/>
      <c r="G337" s="59"/>
      <c r="H337" s="59"/>
      <c r="I337" s="59"/>
      <c r="J337" s="59"/>
      <c r="K337" s="59">
        <f t="shared" si="15"/>
        <v>-80000</v>
      </c>
      <c r="L337" s="2">
        <f t="shared" si="17"/>
        <v>0</v>
      </c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>
      <c r="A338" s="353"/>
      <c r="B338" s="72" t="s">
        <v>1085</v>
      </c>
      <c r="C338" s="93">
        <v>-200000</v>
      </c>
      <c r="D338" s="51">
        <f t="shared" si="16"/>
        <v>42583638</v>
      </c>
      <c r="E338" s="36" t="s">
        <v>578</v>
      </c>
      <c r="F338" s="62"/>
      <c r="G338" s="59"/>
      <c r="H338" s="59"/>
      <c r="I338" s="59"/>
      <c r="J338" s="59"/>
      <c r="K338" s="59">
        <f t="shared" si="15"/>
        <v>-200000</v>
      </c>
      <c r="L338" s="2">
        <f t="shared" si="17"/>
        <v>0</v>
      </c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>
      <c r="A339" s="91"/>
      <c r="B339" s="72" t="s">
        <v>584</v>
      </c>
      <c r="C339" s="93">
        <v>-112000</v>
      </c>
      <c r="D339" s="51">
        <f t="shared" si="16"/>
        <v>42471638</v>
      </c>
      <c r="E339" s="36" t="s">
        <v>578</v>
      </c>
      <c r="F339" s="62"/>
      <c r="G339" s="59"/>
      <c r="H339" s="59"/>
      <c r="I339" s="59"/>
      <c r="J339" s="59"/>
      <c r="K339" s="59">
        <f t="shared" si="15"/>
        <v>-112000</v>
      </c>
      <c r="L339" s="2">
        <f t="shared" si="17"/>
        <v>0</v>
      </c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>
      <c r="A340" s="6"/>
      <c r="B340" s="72" t="s">
        <v>1086</v>
      </c>
      <c r="C340" s="93">
        <v>23225000</v>
      </c>
      <c r="D340" s="51">
        <f t="shared" si="16"/>
        <v>65696638</v>
      </c>
      <c r="E340" s="36" t="s">
        <v>585</v>
      </c>
      <c r="F340" s="62">
        <f>C340</f>
        <v>23225000</v>
      </c>
      <c r="G340" s="59"/>
      <c r="H340" s="59"/>
      <c r="I340" s="59"/>
      <c r="J340" s="59"/>
      <c r="K340" s="59"/>
      <c r="L340" s="2">
        <f t="shared" si="17"/>
        <v>0</v>
      </c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>
      <c r="A341" s="353"/>
      <c r="B341" s="72" t="s">
        <v>1087</v>
      </c>
      <c r="C341" s="93">
        <v>-65000</v>
      </c>
      <c r="D341" s="51">
        <f t="shared" si="16"/>
        <v>65631638</v>
      </c>
      <c r="E341" s="36" t="s">
        <v>578</v>
      </c>
      <c r="F341" s="62"/>
      <c r="G341" s="59"/>
      <c r="H341" s="59"/>
      <c r="I341" s="59"/>
      <c r="J341" s="59"/>
      <c r="K341" s="59">
        <f t="shared" si="15"/>
        <v>-65000</v>
      </c>
      <c r="L341" s="2">
        <f t="shared" si="17"/>
        <v>0</v>
      </c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>
      <c r="A342" s="353"/>
      <c r="B342" s="72" t="s">
        <v>1088</v>
      </c>
      <c r="C342" s="93">
        <v>-22840</v>
      </c>
      <c r="D342" s="51">
        <f t="shared" si="16"/>
        <v>65608798</v>
      </c>
      <c r="E342" s="36" t="s">
        <v>578</v>
      </c>
      <c r="F342" s="62"/>
      <c r="G342" s="59"/>
      <c r="H342" s="59"/>
      <c r="I342" s="59"/>
      <c r="J342" s="59"/>
      <c r="K342" s="59">
        <f t="shared" si="15"/>
        <v>-22840</v>
      </c>
      <c r="L342" s="2">
        <f t="shared" si="17"/>
        <v>0</v>
      </c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>
      <c r="A343" s="354"/>
      <c r="B343" s="72" t="s">
        <v>1089</v>
      </c>
      <c r="C343" s="93"/>
      <c r="D343" s="51">
        <f t="shared" si="16"/>
        <v>65608798</v>
      </c>
      <c r="E343" s="36" t="s">
        <v>59</v>
      </c>
      <c r="F343" s="62"/>
      <c r="G343" s="59"/>
      <c r="H343" s="59"/>
      <c r="I343" s="59"/>
      <c r="J343" s="59"/>
      <c r="K343" s="59">
        <f t="shared" si="15"/>
        <v>0</v>
      </c>
      <c r="L343" s="2">
        <f t="shared" si="17"/>
        <v>0</v>
      </c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>
      <c r="B344" s="72" t="s">
        <v>601</v>
      </c>
      <c r="C344" s="93">
        <v>-60000</v>
      </c>
      <c r="D344" s="51">
        <f t="shared" si="16"/>
        <v>65548798</v>
      </c>
      <c r="E344" s="36" t="s">
        <v>578</v>
      </c>
      <c r="F344" s="62"/>
      <c r="G344" s="59"/>
      <c r="H344" s="59"/>
      <c r="I344" s="59"/>
      <c r="J344" s="59"/>
      <c r="K344" s="59">
        <f t="shared" si="15"/>
        <v>-60000</v>
      </c>
      <c r="L344" s="2">
        <f t="shared" si="17"/>
        <v>0</v>
      </c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>
      <c r="A345" s="6"/>
      <c r="B345" s="72" t="s">
        <v>1090</v>
      </c>
      <c r="C345" s="93">
        <v>1580000</v>
      </c>
      <c r="D345" s="51">
        <f t="shared" si="16"/>
        <v>67128798</v>
      </c>
      <c r="E345" s="36" t="s">
        <v>585</v>
      </c>
      <c r="F345" s="62">
        <f>C345</f>
        <v>1580000</v>
      </c>
      <c r="G345" s="59"/>
      <c r="H345" s="59"/>
      <c r="I345" s="59"/>
      <c r="J345" s="59"/>
      <c r="K345" s="59"/>
      <c r="L345" s="2">
        <f t="shared" si="17"/>
        <v>0</v>
      </c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>
      <c r="A346" s="353"/>
      <c r="B346" s="72" t="s">
        <v>1091</v>
      </c>
      <c r="C346" s="93">
        <v>-3600000</v>
      </c>
      <c r="D346" s="51">
        <f t="shared" si="16"/>
        <v>63528798</v>
      </c>
      <c r="E346" s="36" t="s">
        <v>578</v>
      </c>
      <c r="F346" s="62"/>
      <c r="G346" s="59"/>
      <c r="H346" s="59"/>
      <c r="I346" s="59"/>
      <c r="J346" s="59"/>
      <c r="K346" s="59">
        <f t="shared" si="15"/>
        <v>-3600000</v>
      </c>
      <c r="L346" s="2">
        <f t="shared" si="17"/>
        <v>0</v>
      </c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>
      <c r="A347" s="353"/>
      <c r="B347" s="72" t="s">
        <v>18</v>
      </c>
      <c r="C347" s="93">
        <v>220000</v>
      </c>
      <c r="D347" s="51">
        <f t="shared" si="16"/>
        <v>63748798</v>
      </c>
      <c r="E347" s="36" t="s">
        <v>1</v>
      </c>
      <c r="F347" s="62"/>
      <c r="G347" s="59"/>
      <c r="H347" s="59">
        <f>C347</f>
        <v>220000</v>
      </c>
      <c r="I347" s="59"/>
      <c r="J347" s="59"/>
      <c r="K347" s="59"/>
      <c r="L347" s="2">
        <f t="shared" si="17"/>
        <v>0</v>
      </c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>
      <c r="A348" s="353"/>
      <c r="B348" s="72" t="s">
        <v>1092</v>
      </c>
      <c r="C348" s="93"/>
      <c r="D348" s="51">
        <f t="shared" si="16"/>
        <v>63748798</v>
      </c>
      <c r="E348" s="36" t="s">
        <v>61</v>
      </c>
      <c r="F348" s="62"/>
      <c r="G348" s="59"/>
      <c r="H348" s="59"/>
      <c r="I348" s="59"/>
      <c r="J348" s="59"/>
      <c r="K348" s="59">
        <f t="shared" si="15"/>
        <v>0</v>
      </c>
      <c r="L348" s="2">
        <f t="shared" si="17"/>
        <v>0</v>
      </c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>
      <c r="A349" s="353"/>
      <c r="B349" s="72" t="s">
        <v>1093</v>
      </c>
      <c r="C349" s="93">
        <v>-10000</v>
      </c>
      <c r="D349" s="51">
        <f t="shared" si="16"/>
        <v>63738798</v>
      </c>
      <c r="E349" s="36" t="s">
        <v>578</v>
      </c>
      <c r="F349" s="62"/>
      <c r="G349" s="59"/>
      <c r="H349" s="59"/>
      <c r="I349" s="59"/>
      <c r="J349" s="59"/>
      <c r="K349" s="59">
        <f t="shared" si="15"/>
        <v>-10000</v>
      </c>
      <c r="L349" s="2">
        <f t="shared" si="17"/>
        <v>0</v>
      </c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>
      <c r="B350" s="72" t="s">
        <v>600</v>
      </c>
      <c r="C350" s="93">
        <v>-77000</v>
      </c>
      <c r="D350" s="51">
        <f t="shared" si="16"/>
        <v>63661798</v>
      </c>
      <c r="E350" s="36" t="s">
        <v>578</v>
      </c>
      <c r="F350" s="62"/>
      <c r="G350" s="59"/>
      <c r="H350" s="59"/>
      <c r="I350" s="59"/>
      <c r="J350" s="59"/>
      <c r="K350" s="59">
        <f t="shared" si="15"/>
        <v>-77000</v>
      </c>
      <c r="L350" s="2">
        <f t="shared" si="17"/>
        <v>0</v>
      </c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>
      <c r="A351" s="91"/>
      <c r="B351" s="72" t="s">
        <v>1094</v>
      </c>
      <c r="C351" s="93">
        <v>6360000</v>
      </c>
      <c r="D351" s="51">
        <f t="shared" si="16"/>
        <v>70021798</v>
      </c>
      <c r="E351" s="36" t="s">
        <v>585</v>
      </c>
      <c r="F351" s="62">
        <f>C351</f>
        <v>6360000</v>
      </c>
      <c r="G351" s="59"/>
      <c r="H351" s="59"/>
      <c r="I351" s="59"/>
      <c r="J351" s="59"/>
      <c r="K351" s="59"/>
      <c r="L351" s="2">
        <f t="shared" si="17"/>
        <v>0</v>
      </c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>
      <c r="A352" s="353">
        <v>45432</v>
      </c>
      <c r="B352" s="72" t="s">
        <v>577</v>
      </c>
      <c r="C352" s="93">
        <v>-11000</v>
      </c>
      <c r="D352" s="51">
        <f t="shared" si="16"/>
        <v>70010798</v>
      </c>
      <c r="E352" s="36" t="s">
        <v>578</v>
      </c>
      <c r="F352" s="62"/>
      <c r="G352" s="59"/>
      <c r="H352" s="59"/>
      <c r="I352" s="59"/>
      <c r="J352" s="59"/>
      <c r="K352" s="59">
        <f t="shared" si="15"/>
        <v>-11000</v>
      </c>
      <c r="L352" s="2">
        <f t="shared" si="17"/>
        <v>0</v>
      </c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>
      <c r="B353" s="72" t="s">
        <v>591</v>
      </c>
      <c r="C353" s="93">
        <v>-1242000</v>
      </c>
      <c r="D353" s="51">
        <f t="shared" si="16"/>
        <v>68768798</v>
      </c>
      <c r="E353" s="36" t="s">
        <v>578</v>
      </c>
      <c r="F353" s="62"/>
      <c r="G353" s="59"/>
      <c r="H353" s="59"/>
      <c r="I353" s="59"/>
      <c r="J353" s="59"/>
      <c r="K353" s="59">
        <f t="shared" si="15"/>
        <v>-1242000</v>
      </c>
      <c r="L353" s="2">
        <f t="shared" si="17"/>
        <v>0</v>
      </c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>
      <c r="A354" s="354"/>
      <c r="B354" s="72" t="s">
        <v>1095</v>
      </c>
      <c r="C354" s="93">
        <v>2500000</v>
      </c>
      <c r="D354" s="51">
        <f t="shared" si="16"/>
        <v>71268798</v>
      </c>
      <c r="E354" s="36" t="s">
        <v>61</v>
      </c>
      <c r="F354" s="62"/>
      <c r="G354" s="59"/>
      <c r="H354" s="59"/>
      <c r="I354" s="59">
        <f>C354</f>
        <v>2500000</v>
      </c>
      <c r="J354" s="59"/>
      <c r="K354" s="59"/>
      <c r="L354" s="2">
        <f t="shared" si="17"/>
        <v>0</v>
      </c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>
      <c r="A355" s="354"/>
      <c r="B355" s="72" t="s">
        <v>591</v>
      </c>
      <c r="C355" s="93">
        <v>-736000</v>
      </c>
      <c r="D355" s="51">
        <f t="shared" si="16"/>
        <v>70532798</v>
      </c>
      <c r="E355" s="36" t="s">
        <v>578</v>
      </c>
      <c r="F355" s="62"/>
      <c r="G355" s="59"/>
      <c r="H355" s="59"/>
      <c r="I355" s="59"/>
      <c r="J355" s="59"/>
      <c r="K355" s="59">
        <f t="shared" si="15"/>
        <v>-736000</v>
      </c>
      <c r="L355" s="2">
        <f t="shared" si="17"/>
        <v>0</v>
      </c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>
      <c r="A356" s="6"/>
      <c r="B356" s="72" t="s">
        <v>1096</v>
      </c>
      <c r="C356" s="93">
        <v>-65000</v>
      </c>
      <c r="D356" s="51">
        <f t="shared" si="16"/>
        <v>70467798</v>
      </c>
      <c r="E356" s="36" t="s">
        <v>578</v>
      </c>
      <c r="F356" s="62"/>
      <c r="G356" s="59"/>
      <c r="H356" s="59"/>
      <c r="I356" s="59"/>
      <c r="J356" s="59"/>
      <c r="K356" s="59">
        <f t="shared" si="15"/>
        <v>-65000</v>
      </c>
      <c r="L356" s="2">
        <f t="shared" si="17"/>
        <v>0</v>
      </c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>
      <c r="A357" s="6"/>
      <c r="B357" s="72" t="s">
        <v>1097</v>
      </c>
      <c r="C357" s="93">
        <v>-340000</v>
      </c>
      <c r="D357" s="51">
        <f t="shared" si="16"/>
        <v>70127798</v>
      </c>
      <c r="E357" s="36" t="s">
        <v>578</v>
      </c>
      <c r="F357" s="62"/>
      <c r="G357" s="59"/>
      <c r="H357" s="59"/>
      <c r="I357" s="59"/>
      <c r="J357" s="59"/>
      <c r="K357" s="59">
        <f t="shared" si="15"/>
        <v>-340000</v>
      </c>
      <c r="L357" s="2">
        <f t="shared" si="17"/>
        <v>0</v>
      </c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>
      <c r="A358" s="354"/>
      <c r="B358" s="72" t="s">
        <v>1098</v>
      </c>
      <c r="C358" s="93">
        <v>-433000</v>
      </c>
      <c r="D358" s="51">
        <f t="shared" si="16"/>
        <v>69694798</v>
      </c>
      <c r="E358" s="36" t="s">
        <v>578</v>
      </c>
      <c r="F358" s="62"/>
      <c r="G358" s="59"/>
      <c r="H358" s="59"/>
      <c r="I358" s="59"/>
      <c r="J358" s="59"/>
      <c r="K358" s="59">
        <f t="shared" si="15"/>
        <v>-433000</v>
      </c>
      <c r="L358" s="2">
        <f t="shared" si="17"/>
        <v>0</v>
      </c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>
      <c r="A359" s="354"/>
      <c r="B359" s="72" t="s">
        <v>1099</v>
      </c>
      <c r="C359" s="93">
        <v>-40000000</v>
      </c>
      <c r="D359" s="51">
        <f t="shared" si="16"/>
        <v>29694798</v>
      </c>
      <c r="E359" s="36" t="s">
        <v>578</v>
      </c>
      <c r="F359" s="62"/>
      <c r="G359" s="59"/>
      <c r="H359" s="59"/>
      <c r="I359" s="59"/>
      <c r="J359" s="59">
        <f>C359</f>
        <v>-40000000</v>
      </c>
      <c r="K359" s="59"/>
      <c r="L359" s="2">
        <f t="shared" si="17"/>
        <v>0</v>
      </c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>
      <c r="A360" s="354"/>
      <c r="B360" s="72" t="s">
        <v>1100</v>
      </c>
      <c r="C360" s="93">
        <v>-250000</v>
      </c>
      <c r="D360" s="51">
        <f t="shared" si="16"/>
        <v>29444798</v>
      </c>
      <c r="E360" s="36" t="s">
        <v>578</v>
      </c>
      <c r="F360" s="62"/>
      <c r="G360" s="59"/>
      <c r="H360" s="59"/>
      <c r="I360" s="59"/>
      <c r="J360" s="59"/>
      <c r="K360" s="59">
        <f t="shared" si="15"/>
        <v>-250000</v>
      </c>
      <c r="L360" s="2">
        <f t="shared" si="17"/>
        <v>0</v>
      </c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>
      <c r="A361" s="354"/>
      <c r="B361" s="72" t="s">
        <v>589</v>
      </c>
      <c r="C361" s="93">
        <v>-582000</v>
      </c>
      <c r="D361" s="51">
        <f t="shared" si="16"/>
        <v>28862798</v>
      </c>
      <c r="E361" s="36" t="s">
        <v>578</v>
      </c>
      <c r="F361" s="62"/>
      <c r="G361" s="59"/>
      <c r="H361" s="59"/>
      <c r="I361" s="59"/>
      <c r="J361" s="59"/>
      <c r="K361" s="59">
        <f t="shared" si="15"/>
        <v>-582000</v>
      </c>
      <c r="L361" s="2">
        <f t="shared" si="17"/>
        <v>0</v>
      </c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>
      <c r="A362" s="354"/>
      <c r="B362" s="72" t="s">
        <v>589</v>
      </c>
      <c r="C362" s="93">
        <v>-380000</v>
      </c>
      <c r="D362" s="51">
        <f t="shared" si="16"/>
        <v>28482798</v>
      </c>
      <c r="E362" s="36" t="s">
        <v>578</v>
      </c>
      <c r="F362" s="62"/>
      <c r="G362" s="59"/>
      <c r="H362" s="59"/>
      <c r="I362" s="59"/>
      <c r="J362" s="59"/>
      <c r="K362" s="59">
        <f t="shared" si="15"/>
        <v>-380000</v>
      </c>
      <c r="L362" s="2">
        <f t="shared" si="17"/>
        <v>0</v>
      </c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>
      <c r="A363" s="354"/>
      <c r="B363" s="72" t="s">
        <v>1101</v>
      </c>
      <c r="C363" s="93"/>
      <c r="D363" s="51">
        <f t="shared" si="16"/>
        <v>28482798</v>
      </c>
      <c r="E363" s="36" t="s">
        <v>585</v>
      </c>
      <c r="F363" s="62"/>
      <c r="G363" s="59"/>
      <c r="H363" s="59"/>
      <c r="I363" s="59"/>
      <c r="J363" s="59"/>
      <c r="K363" s="59">
        <f t="shared" si="15"/>
        <v>0</v>
      </c>
      <c r="L363" s="2">
        <f t="shared" si="17"/>
        <v>0</v>
      </c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>
      <c r="A364" s="354"/>
      <c r="B364" s="72" t="s">
        <v>1102</v>
      </c>
      <c r="C364" s="93">
        <v>-75000</v>
      </c>
      <c r="D364" s="51">
        <f t="shared" si="16"/>
        <v>28407798</v>
      </c>
      <c r="E364" s="36" t="s">
        <v>578</v>
      </c>
      <c r="F364" s="62"/>
      <c r="G364" s="59"/>
      <c r="H364" s="59"/>
      <c r="I364" s="59"/>
      <c r="J364" s="59"/>
      <c r="K364" s="59">
        <f t="shared" si="15"/>
        <v>-75000</v>
      </c>
      <c r="L364" s="2">
        <f t="shared" si="17"/>
        <v>0</v>
      </c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>
      <c r="B365" s="72" t="s">
        <v>1103</v>
      </c>
      <c r="C365" s="93"/>
      <c r="D365" s="51">
        <f t="shared" si="16"/>
        <v>28407798</v>
      </c>
      <c r="E365" s="36" t="s">
        <v>585</v>
      </c>
      <c r="F365" s="62"/>
      <c r="G365" s="59"/>
      <c r="H365" s="59"/>
      <c r="I365" s="59"/>
      <c r="J365" s="59"/>
      <c r="K365" s="59">
        <f t="shared" si="15"/>
        <v>0</v>
      </c>
      <c r="L365" s="2">
        <f t="shared" si="17"/>
        <v>0</v>
      </c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>
      <c r="A366" s="354"/>
      <c r="B366" s="72" t="s">
        <v>1104</v>
      </c>
      <c r="C366" s="93">
        <v>-30000</v>
      </c>
      <c r="D366" s="51">
        <f t="shared" si="16"/>
        <v>28377798</v>
      </c>
      <c r="E366" s="36" t="s">
        <v>578</v>
      </c>
      <c r="F366" s="62"/>
      <c r="G366" s="59"/>
      <c r="H366" s="59"/>
      <c r="I366" s="59"/>
      <c r="J366" s="59"/>
      <c r="K366" s="59">
        <f t="shared" si="15"/>
        <v>-30000</v>
      </c>
      <c r="L366" s="2">
        <f t="shared" si="17"/>
        <v>0</v>
      </c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>
      <c r="A367" s="353"/>
      <c r="B367" s="72" t="s">
        <v>884</v>
      </c>
      <c r="C367" s="93">
        <v>-251000</v>
      </c>
      <c r="D367" s="51">
        <f t="shared" si="16"/>
        <v>28126798</v>
      </c>
      <c r="E367" s="36" t="s">
        <v>578</v>
      </c>
      <c r="F367" s="62"/>
      <c r="G367" s="59"/>
      <c r="H367" s="59"/>
      <c r="I367" s="59"/>
      <c r="J367" s="59"/>
      <c r="K367" s="59">
        <f t="shared" si="15"/>
        <v>-251000</v>
      </c>
      <c r="L367" s="2">
        <f t="shared" si="17"/>
        <v>0</v>
      </c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>
      <c r="B368" s="72" t="s">
        <v>593</v>
      </c>
      <c r="C368" s="93">
        <v>-82500</v>
      </c>
      <c r="D368" s="51">
        <f t="shared" si="16"/>
        <v>28044298</v>
      </c>
      <c r="E368" s="36" t="s">
        <v>578</v>
      </c>
      <c r="F368" s="62"/>
      <c r="G368" s="59"/>
      <c r="H368" s="59"/>
      <c r="I368" s="59"/>
      <c r="J368" s="59"/>
      <c r="K368" s="59">
        <f t="shared" si="15"/>
        <v>-82500</v>
      </c>
      <c r="L368" s="2">
        <f t="shared" si="17"/>
        <v>0</v>
      </c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>
      <c r="A369" s="354"/>
      <c r="B369" s="72" t="s">
        <v>1105</v>
      </c>
      <c r="C369" s="93">
        <v>3320000</v>
      </c>
      <c r="D369" s="51">
        <f t="shared" si="16"/>
        <v>31364298</v>
      </c>
      <c r="E369" s="36" t="s">
        <v>585</v>
      </c>
      <c r="F369" s="62">
        <f>C369</f>
        <v>3320000</v>
      </c>
      <c r="G369" s="59"/>
      <c r="H369" s="59"/>
      <c r="I369" s="59"/>
      <c r="J369" s="59"/>
      <c r="K369" s="59"/>
      <c r="L369" s="2">
        <f t="shared" si="17"/>
        <v>0</v>
      </c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>
      <c r="A370" s="354">
        <v>45433</v>
      </c>
      <c r="B370" s="456" t="s">
        <v>577</v>
      </c>
      <c r="C370" s="93">
        <v>-11000</v>
      </c>
      <c r="D370" s="51">
        <f t="shared" si="16"/>
        <v>31353298</v>
      </c>
      <c r="E370" s="36" t="s">
        <v>578</v>
      </c>
      <c r="F370" s="62"/>
      <c r="G370" s="59"/>
      <c r="H370" s="59"/>
      <c r="I370" s="59"/>
      <c r="J370" s="59"/>
      <c r="K370" s="59">
        <f t="shared" ref="K370:K372" si="18">C370</f>
        <v>-11000</v>
      </c>
      <c r="L370" s="2">
        <f t="shared" si="17"/>
        <v>0</v>
      </c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>
      <c r="B371" s="456" t="s">
        <v>1219</v>
      </c>
      <c r="C371" s="93">
        <v>-160000</v>
      </c>
      <c r="D371" s="51">
        <f t="shared" si="16"/>
        <v>31193298</v>
      </c>
      <c r="E371" s="36" t="s">
        <v>578</v>
      </c>
      <c r="F371" s="62"/>
      <c r="G371" s="59"/>
      <c r="H371" s="59"/>
      <c r="I371" s="59"/>
      <c r="J371" s="59"/>
      <c r="K371" s="59">
        <f t="shared" si="18"/>
        <v>-160000</v>
      </c>
      <c r="L371" s="2">
        <f t="shared" si="17"/>
        <v>0</v>
      </c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>
      <c r="B372" s="456" t="s">
        <v>584</v>
      </c>
      <c r="C372" s="93">
        <v>-448000</v>
      </c>
      <c r="D372" s="51">
        <f t="shared" si="16"/>
        <v>30745298</v>
      </c>
      <c r="E372" s="36" t="s">
        <v>578</v>
      </c>
      <c r="F372" s="62"/>
      <c r="G372" s="59"/>
      <c r="H372" s="59"/>
      <c r="I372" s="59"/>
      <c r="J372" s="59"/>
      <c r="K372" s="59">
        <f t="shared" si="18"/>
        <v>-448000</v>
      </c>
      <c r="L372" s="2">
        <f t="shared" si="17"/>
        <v>0</v>
      </c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>
      <c r="B373" s="456" t="s">
        <v>1220</v>
      </c>
      <c r="C373" s="93">
        <v>1400000</v>
      </c>
      <c r="D373" s="51">
        <f t="shared" si="16"/>
        <v>32145298</v>
      </c>
      <c r="E373" s="36" t="s">
        <v>61</v>
      </c>
      <c r="F373" s="62"/>
      <c r="G373" s="59"/>
      <c r="H373" s="59"/>
      <c r="I373" s="59">
        <f>C373</f>
        <v>1400000</v>
      </c>
      <c r="J373" s="59"/>
      <c r="K373" s="59"/>
      <c r="L373" s="2">
        <f t="shared" si="17"/>
        <v>0</v>
      </c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>
      <c r="A374" s="354"/>
      <c r="B374" s="456" t="s">
        <v>1221</v>
      </c>
      <c r="C374" s="93">
        <v>-65000</v>
      </c>
      <c r="D374" s="51">
        <f t="shared" si="16"/>
        <v>32080298</v>
      </c>
      <c r="E374" s="36" t="s">
        <v>578</v>
      </c>
      <c r="F374" s="62"/>
      <c r="G374" s="59"/>
      <c r="H374" s="59"/>
      <c r="I374" s="59"/>
      <c r="J374" s="59"/>
      <c r="K374" s="59">
        <f t="shared" ref="K374:K392" si="19">C374</f>
        <v>-65000</v>
      </c>
      <c r="L374" s="2">
        <f t="shared" si="17"/>
        <v>0</v>
      </c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>
      <c r="A375" s="354"/>
      <c r="B375" s="456" t="s">
        <v>589</v>
      </c>
      <c r="C375" s="93">
        <v>-380000</v>
      </c>
      <c r="D375" s="51">
        <f t="shared" si="16"/>
        <v>31700298</v>
      </c>
      <c r="E375" s="36" t="s">
        <v>578</v>
      </c>
      <c r="F375" s="62"/>
      <c r="G375" s="59"/>
      <c r="H375" s="59"/>
      <c r="I375" s="59"/>
      <c r="J375" s="59"/>
      <c r="K375" s="59">
        <f t="shared" si="19"/>
        <v>-380000</v>
      </c>
      <c r="L375" s="2">
        <f t="shared" si="17"/>
        <v>0</v>
      </c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>
      <c r="A376" s="354"/>
      <c r="B376" s="456" t="s">
        <v>1222</v>
      </c>
      <c r="C376" s="93"/>
      <c r="D376" s="51">
        <f t="shared" si="16"/>
        <v>31700298</v>
      </c>
      <c r="E376" s="36" t="s">
        <v>585</v>
      </c>
      <c r="F376" s="62"/>
      <c r="G376" s="59"/>
      <c r="H376" s="59"/>
      <c r="I376" s="59"/>
      <c r="J376" s="59"/>
      <c r="K376" s="59">
        <f t="shared" si="19"/>
        <v>0</v>
      </c>
      <c r="L376" s="2">
        <f t="shared" si="17"/>
        <v>0</v>
      </c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>
      <c r="A377" s="354"/>
      <c r="B377" s="456" t="s">
        <v>579</v>
      </c>
      <c r="C377" s="93">
        <v>-335000</v>
      </c>
      <c r="D377" s="51">
        <f t="shared" si="16"/>
        <v>31365298</v>
      </c>
      <c r="E377" s="36" t="s">
        <v>578</v>
      </c>
      <c r="F377" s="62"/>
      <c r="G377" s="59"/>
      <c r="H377" s="59"/>
      <c r="I377" s="59"/>
      <c r="J377" s="59"/>
      <c r="K377" s="59">
        <f t="shared" si="19"/>
        <v>-335000</v>
      </c>
      <c r="L377" s="2">
        <f t="shared" si="17"/>
        <v>0</v>
      </c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>
      <c r="A378" s="354"/>
      <c r="B378" s="456" t="s">
        <v>1223</v>
      </c>
      <c r="C378" s="93">
        <v>-105000</v>
      </c>
      <c r="D378" s="51">
        <f t="shared" si="16"/>
        <v>31260298</v>
      </c>
      <c r="E378" s="36" t="s">
        <v>578</v>
      </c>
      <c r="F378" s="62"/>
      <c r="G378" s="59"/>
      <c r="H378" s="59"/>
      <c r="I378" s="59"/>
      <c r="J378" s="59"/>
      <c r="K378" s="59">
        <f t="shared" si="19"/>
        <v>-105000</v>
      </c>
      <c r="L378" s="2">
        <f t="shared" si="17"/>
        <v>0</v>
      </c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>
      <c r="A379" s="354"/>
      <c r="B379" s="456" t="s">
        <v>589</v>
      </c>
      <c r="C379" s="93">
        <v>-113500</v>
      </c>
      <c r="D379" s="51">
        <f t="shared" si="16"/>
        <v>31146798</v>
      </c>
      <c r="E379" s="36" t="s">
        <v>578</v>
      </c>
      <c r="F379" s="62"/>
      <c r="G379" s="59"/>
      <c r="H379" s="59"/>
      <c r="I379" s="59"/>
      <c r="J379" s="59"/>
      <c r="K379" s="59">
        <f t="shared" si="19"/>
        <v>-113500</v>
      </c>
      <c r="L379" s="2">
        <f t="shared" si="17"/>
        <v>0</v>
      </c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>
      <c r="B380" s="456" t="s">
        <v>1224</v>
      </c>
      <c r="C380" s="93">
        <v>-418000</v>
      </c>
      <c r="D380" s="51">
        <f t="shared" si="16"/>
        <v>30728798</v>
      </c>
      <c r="E380" s="36" t="s">
        <v>578</v>
      </c>
      <c r="F380" s="62"/>
      <c r="G380" s="59"/>
      <c r="H380" s="59"/>
      <c r="I380" s="59"/>
      <c r="J380" s="59"/>
      <c r="K380" s="59">
        <f t="shared" si="19"/>
        <v>-418000</v>
      </c>
      <c r="L380" s="2">
        <f t="shared" si="17"/>
        <v>0</v>
      </c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>
      <c r="A381" s="353"/>
      <c r="B381" s="456" t="s">
        <v>591</v>
      </c>
      <c r="C381" s="93">
        <v>-2998500</v>
      </c>
      <c r="D381" s="51">
        <f t="shared" si="16"/>
        <v>27730298</v>
      </c>
      <c r="E381" s="36" t="s">
        <v>578</v>
      </c>
      <c r="F381" s="62"/>
      <c r="G381" s="59"/>
      <c r="H381" s="59"/>
      <c r="I381" s="59"/>
      <c r="J381" s="59"/>
      <c r="K381" s="59">
        <f t="shared" si="19"/>
        <v>-2998500</v>
      </c>
      <c r="L381" s="2">
        <f t="shared" si="17"/>
        <v>0</v>
      </c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>
      <c r="B382" s="456" t="s">
        <v>582</v>
      </c>
      <c r="C382" s="93">
        <v>-289500</v>
      </c>
      <c r="D382" s="51">
        <f t="shared" si="16"/>
        <v>27440798</v>
      </c>
      <c r="E382" s="36" t="s">
        <v>578</v>
      </c>
      <c r="F382" s="62"/>
      <c r="G382" s="59"/>
      <c r="H382" s="59"/>
      <c r="I382" s="59"/>
      <c r="J382" s="59"/>
      <c r="K382" s="59">
        <f t="shared" si="19"/>
        <v>-289500</v>
      </c>
      <c r="L382" s="2">
        <f t="shared" si="17"/>
        <v>0</v>
      </c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>
      <c r="B383" s="456" t="s">
        <v>1225</v>
      </c>
      <c r="C383" s="93">
        <v>-213200</v>
      </c>
      <c r="D383" s="51">
        <f t="shared" si="16"/>
        <v>27227598</v>
      </c>
      <c r="E383" s="36" t="s">
        <v>578</v>
      </c>
      <c r="F383" s="62"/>
      <c r="G383" s="59"/>
      <c r="H383" s="59"/>
      <c r="I383" s="59"/>
      <c r="J383" s="59"/>
      <c r="K383" s="59">
        <f t="shared" si="19"/>
        <v>-213200</v>
      </c>
      <c r="L383" s="2">
        <f t="shared" si="17"/>
        <v>0</v>
      </c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>
      <c r="A384" s="354"/>
      <c r="B384" s="456" t="s">
        <v>18</v>
      </c>
      <c r="C384" s="93">
        <v>90000</v>
      </c>
      <c r="D384" s="51">
        <f t="shared" si="16"/>
        <v>27317598</v>
      </c>
      <c r="E384" s="36" t="s">
        <v>1</v>
      </c>
      <c r="F384" s="62"/>
      <c r="G384" s="59"/>
      <c r="H384" s="59">
        <f>C384</f>
        <v>90000</v>
      </c>
      <c r="I384" s="59"/>
      <c r="J384" s="59"/>
      <c r="K384" s="59"/>
      <c r="L384" s="2">
        <f t="shared" si="17"/>
        <v>0</v>
      </c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>
      <c r="A385" s="354"/>
      <c r="B385" s="456" t="s">
        <v>1226</v>
      </c>
      <c r="C385" s="93">
        <v>27250000</v>
      </c>
      <c r="D385" s="51">
        <f t="shared" si="16"/>
        <v>54567598</v>
      </c>
      <c r="E385" s="36" t="s">
        <v>585</v>
      </c>
      <c r="F385" s="62">
        <f>C385</f>
        <v>27250000</v>
      </c>
      <c r="G385" s="59"/>
      <c r="H385" s="59"/>
      <c r="I385" s="59"/>
      <c r="J385" s="59"/>
      <c r="K385" s="59"/>
      <c r="L385" s="2">
        <f t="shared" si="17"/>
        <v>0</v>
      </c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>
      <c r="A386" s="354"/>
      <c r="B386" s="456" t="s">
        <v>1227</v>
      </c>
      <c r="C386" s="93">
        <v>-65000</v>
      </c>
      <c r="D386" s="51">
        <f t="shared" ref="D386:D449" si="20">SUM(D385,C386)</f>
        <v>54502598</v>
      </c>
      <c r="E386" s="36" t="s">
        <v>578</v>
      </c>
      <c r="F386" s="62"/>
      <c r="G386" s="59"/>
      <c r="H386" s="59"/>
      <c r="I386" s="59"/>
      <c r="J386" s="59"/>
      <c r="K386" s="59">
        <f t="shared" si="19"/>
        <v>-65000</v>
      </c>
      <c r="L386" s="2">
        <f t="shared" si="17"/>
        <v>0</v>
      </c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>
      <c r="A387" s="354">
        <v>45434</v>
      </c>
      <c r="B387" s="72" t="s">
        <v>1228</v>
      </c>
      <c r="C387" s="93">
        <v>-120000</v>
      </c>
      <c r="D387" s="51">
        <f t="shared" si="20"/>
        <v>54382598</v>
      </c>
      <c r="E387" s="36" t="s">
        <v>578</v>
      </c>
      <c r="F387" s="62"/>
      <c r="G387" s="59"/>
      <c r="H387" s="59"/>
      <c r="I387" s="59"/>
      <c r="J387" s="59"/>
      <c r="K387" s="59">
        <f t="shared" si="19"/>
        <v>-120000</v>
      </c>
      <c r="L387" s="2">
        <f t="shared" ref="L387:L450" si="21">C387-F387-G387-H387-I387-J387-K387</f>
        <v>0</v>
      </c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>
      <c r="B388" s="72" t="s">
        <v>577</v>
      </c>
      <c r="C388" s="93">
        <v>-11000</v>
      </c>
      <c r="D388" s="51">
        <f t="shared" si="20"/>
        <v>54371598</v>
      </c>
      <c r="E388" s="36" t="s">
        <v>578</v>
      </c>
      <c r="F388" s="62"/>
      <c r="G388" s="59"/>
      <c r="H388" s="59"/>
      <c r="I388" s="59"/>
      <c r="J388" s="59"/>
      <c r="K388" s="59">
        <f t="shared" si="19"/>
        <v>-11000</v>
      </c>
      <c r="L388" s="2">
        <f t="shared" si="21"/>
        <v>0</v>
      </c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>
      <c r="A389" s="6"/>
      <c r="B389" s="72" t="s">
        <v>584</v>
      </c>
      <c r="C389" s="93">
        <v>-1211000</v>
      </c>
      <c r="D389" s="51">
        <f t="shared" si="20"/>
        <v>53160598</v>
      </c>
      <c r="E389" s="36" t="s">
        <v>578</v>
      </c>
      <c r="F389" s="62"/>
      <c r="G389" s="59"/>
      <c r="H389" s="59"/>
      <c r="I389" s="59"/>
      <c r="J389" s="59"/>
      <c r="K389" s="59">
        <f t="shared" si="19"/>
        <v>-1211000</v>
      </c>
      <c r="L389" s="2">
        <f t="shared" si="21"/>
        <v>0</v>
      </c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>
      <c r="A390" s="354"/>
      <c r="B390" s="72" t="s">
        <v>591</v>
      </c>
      <c r="C390" s="93">
        <v>-2316000</v>
      </c>
      <c r="D390" s="51">
        <f t="shared" si="20"/>
        <v>50844598</v>
      </c>
      <c r="E390" s="36" t="s">
        <v>578</v>
      </c>
      <c r="F390" s="62"/>
      <c r="G390" s="59"/>
      <c r="H390" s="59"/>
      <c r="I390" s="59"/>
      <c r="J390" s="59"/>
      <c r="K390" s="59">
        <f t="shared" si="19"/>
        <v>-2316000</v>
      </c>
      <c r="L390" s="2">
        <f t="shared" si="21"/>
        <v>0</v>
      </c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>
      <c r="A391" s="6"/>
      <c r="B391" s="72" t="s">
        <v>1229</v>
      </c>
      <c r="C391" s="93">
        <v>-65000</v>
      </c>
      <c r="D391" s="51">
        <f t="shared" si="20"/>
        <v>50779598</v>
      </c>
      <c r="E391" s="36" t="s">
        <v>578</v>
      </c>
      <c r="F391" s="62"/>
      <c r="G391" s="59"/>
      <c r="H391" s="59"/>
      <c r="I391" s="59"/>
      <c r="J391" s="59"/>
      <c r="K391" s="59">
        <f t="shared" si="19"/>
        <v>-65000</v>
      </c>
      <c r="L391" s="2">
        <f t="shared" si="21"/>
        <v>0</v>
      </c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>
      <c r="A392" s="6"/>
      <c r="B392" s="72" t="s">
        <v>1230</v>
      </c>
      <c r="C392" s="93">
        <v>-65000</v>
      </c>
      <c r="D392" s="51">
        <f t="shared" si="20"/>
        <v>50714598</v>
      </c>
      <c r="E392" s="36" t="s">
        <v>578</v>
      </c>
      <c r="F392" s="62"/>
      <c r="G392" s="59"/>
      <c r="H392" s="59"/>
      <c r="I392" s="59"/>
      <c r="J392" s="59"/>
      <c r="K392" s="59">
        <f t="shared" si="19"/>
        <v>-65000</v>
      </c>
      <c r="L392" s="2">
        <f t="shared" si="21"/>
        <v>0</v>
      </c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>
      <c r="A393" s="354"/>
      <c r="B393" s="72" t="s">
        <v>1231</v>
      </c>
      <c r="C393" s="93">
        <v>-40000000</v>
      </c>
      <c r="D393" s="51">
        <f t="shared" si="20"/>
        <v>10714598</v>
      </c>
      <c r="E393" s="36" t="s">
        <v>583</v>
      </c>
      <c r="F393" s="62"/>
      <c r="G393" s="59"/>
      <c r="H393" s="59"/>
      <c r="I393" s="59"/>
      <c r="J393" s="59">
        <f>C393</f>
        <v>-40000000</v>
      </c>
      <c r="K393" s="59"/>
      <c r="L393" s="2">
        <f t="shared" si="21"/>
        <v>0</v>
      </c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>
      <c r="A394" s="6"/>
      <c r="B394" s="72" t="s">
        <v>971</v>
      </c>
      <c r="C394" s="93">
        <v>-418000</v>
      </c>
      <c r="D394" s="51">
        <f t="shared" si="20"/>
        <v>10296598</v>
      </c>
      <c r="E394" s="36" t="s">
        <v>578</v>
      </c>
      <c r="F394" s="62"/>
      <c r="G394" s="59"/>
      <c r="H394" s="59"/>
      <c r="I394" s="59"/>
      <c r="J394" s="59"/>
      <c r="K394" s="59">
        <f t="shared" ref="K394:K436" si="22">C394</f>
        <v>-418000</v>
      </c>
      <c r="L394" s="2">
        <f t="shared" si="21"/>
        <v>0</v>
      </c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>
      <c r="A395" s="354"/>
      <c r="B395" s="72" t="s">
        <v>1232</v>
      </c>
      <c r="C395" s="93"/>
      <c r="D395" s="51">
        <f t="shared" si="20"/>
        <v>10296598</v>
      </c>
      <c r="E395" s="36" t="s">
        <v>61</v>
      </c>
      <c r="F395" s="62"/>
      <c r="G395" s="59"/>
      <c r="H395" s="59"/>
      <c r="I395" s="59"/>
      <c r="J395" s="59"/>
      <c r="K395" s="59">
        <f t="shared" si="22"/>
        <v>0</v>
      </c>
      <c r="L395" s="2">
        <f t="shared" si="21"/>
        <v>0</v>
      </c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>
      <c r="A396" s="354"/>
      <c r="B396" s="72" t="s">
        <v>1233</v>
      </c>
      <c r="C396" s="93">
        <v>-505000</v>
      </c>
      <c r="D396" s="51">
        <f t="shared" si="20"/>
        <v>9791598</v>
      </c>
      <c r="E396" s="36" t="s">
        <v>578</v>
      </c>
      <c r="F396" s="62"/>
      <c r="G396" s="59"/>
      <c r="H396" s="59"/>
      <c r="I396" s="59"/>
      <c r="J396" s="59"/>
      <c r="K396" s="59">
        <f t="shared" si="22"/>
        <v>-505000</v>
      </c>
      <c r="L396" s="2">
        <f t="shared" si="21"/>
        <v>0</v>
      </c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>
      <c r="A397" s="354"/>
      <c r="B397" s="72" t="s">
        <v>1065</v>
      </c>
      <c r="C397" s="93">
        <v>-737000</v>
      </c>
      <c r="D397" s="51">
        <f t="shared" si="20"/>
        <v>9054598</v>
      </c>
      <c r="E397" s="36" t="s">
        <v>578</v>
      </c>
      <c r="F397" s="62"/>
      <c r="G397" s="59"/>
      <c r="H397" s="59"/>
      <c r="I397" s="59"/>
      <c r="J397" s="59"/>
      <c r="K397" s="59">
        <f t="shared" si="22"/>
        <v>-737000</v>
      </c>
      <c r="L397" s="2">
        <f t="shared" si="21"/>
        <v>0</v>
      </c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>
      <c r="A398" s="354"/>
      <c r="B398" s="72" t="s">
        <v>1234</v>
      </c>
      <c r="C398" s="93">
        <v>-595500</v>
      </c>
      <c r="D398" s="51">
        <f t="shared" si="20"/>
        <v>8459098</v>
      </c>
      <c r="E398" s="36" t="s">
        <v>578</v>
      </c>
      <c r="F398" s="62"/>
      <c r="G398" s="59"/>
      <c r="H398" s="59"/>
      <c r="I398" s="59"/>
      <c r="J398" s="59"/>
      <c r="K398" s="59">
        <f t="shared" si="22"/>
        <v>-595500</v>
      </c>
      <c r="L398" s="2">
        <f t="shared" si="21"/>
        <v>0</v>
      </c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>
      <c r="A399" s="354"/>
      <c r="B399" s="72" t="s">
        <v>18</v>
      </c>
      <c r="C399" s="93">
        <v>150000</v>
      </c>
      <c r="D399" s="51">
        <f t="shared" si="20"/>
        <v>8609098</v>
      </c>
      <c r="E399" s="36" t="s">
        <v>1</v>
      </c>
      <c r="F399" s="62"/>
      <c r="G399" s="59"/>
      <c r="H399" s="59">
        <f>C399</f>
        <v>150000</v>
      </c>
      <c r="I399" s="59"/>
      <c r="J399" s="59"/>
      <c r="K399" s="59"/>
      <c r="L399" s="2">
        <f t="shared" si="21"/>
        <v>0</v>
      </c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>
      <c r="A400" s="354"/>
      <c r="B400" s="72" t="s">
        <v>1235</v>
      </c>
      <c r="C400" s="93">
        <v>-65000</v>
      </c>
      <c r="D400" s="51">
        <f t="shared" si="20"/>
        <v>8544098</v>
      </c>
      <c r="E400" s="36" t="s">
        <v>578</v>
      </c>
      <c r="F400" s="62"/>
      <c r="G400" s="59"/>
      <c r="H400" s="59"/>
      <c r="I400" s="59"/>
      <c r="J400" s="59"/>
      <c r="K400" s="59">
        <f t="shared" si="22"/>
        <v>-65000</v>
      </c>
      <c r="L400" s="2">
        <f t="shared" si="21"/>
        <v>0</v>
      </c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>
      <c r="B401" s="72" t="s">
        <v>591</v>
      </c>
      <c r="C401" s="93">
        <v>-36000</v>
      </c>
      <c r="D401" s="51">
        <f t="shared" si="20"/>
        <v>8508098</v>
      </c>
      <c r="E401" s="36" t="s">
        <v>578</v>
      </c>
      <c r="F401" s="62"/>
      <c r="G401" s="59"/>
      <c r="H401" s="59"/>
      <c r="I401" s="59"/>
      <c r="J401" s="59"/>
      <c r="K401" s="59">
        <f t="shared" si="22"/>
        <v>-36000</v>
      </c>
      <c r="L401" s="2">
        <f t="shared" si="21"/>
        <v>0</v>
      </c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>
      <c r="A402" s="354"/>
      <c r="B402" s="72" t="s">
        <v>1236</v>
      </c>
      <c r="C402" s="93">
        <v>2960000</v>
      </c>
      <c r="D402" s="51">
        <f t="shared" si="20"/>
        <v>11468098</v>
      </c>
      <c r="E402" s="36" t="s">
        <v>585</v>
      </c>
      <c r="F402" s="62">
        <f>C402</f>
        <v>2960000</v>
      </c>
      <c r="G402" s="59"/>
      <c r="H402" s="59"/>
      <c r="I402" s="59"/>
      <c r="J402" s="59"/>
      <c r="K402" s="59"/>
      <c r="L402" s="2">
        <f t="shared" si="21"/>
        <v>0</v>
      </c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>
      <c r="A403" s="354">
        <v>45435</v>
      </c>
      <c r="B403" s="72" t="s">
        <v>577</v>
      </c>
      <c r="C403" s="93">
        <v>-11000</v>
      </c>
      <c r="D403" s="51">
        <f t="shared" si="20"/>
        <v>11457098</v>
      </c>
      <c r="E403" s="36" t="s">
        <v>578</v>
      </c>
      <c r="F403" s="62"/>
      <c r="G403" s="59"/>
      <c r="H403" s="59"/>
      <c r="I403" s="59"/>
      <c r="J403" s="59"/>
      <c r="K403" s="59">
        <f t="shared" si="22"/>
        <v>-11000</v>
      </c>
      <c r="L403" s="2">
        <f t="shared" si="21"/>
        <v>0</v>
      </c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>
      <c r="B404" s="72" t="s">
        <v>1237</v>
      </c>
      <c r="C404" s="93">
        <v>25814000</v>
      </c>
      <c r="D404" s="51">
        <f t="shared" si="20"/>
        <v>37271098</v>
      </c>
      <c r="E404" s="36" t="s">
        <v>585</v>
      </c>
      <c r="F404" s="62">
        <f>C404</f>
        <v>25814000</v>
      </c>
      <c r="G404" s="59"/>
      <c r="H404" s="59"/>
      <c r="I404" s="59"/>
      <c r="J404" s="59"/>
      <c r="K404" s="59"/>
      <c r="L404" s="2">
        <f t="shared" si="21"/>
        <v>0</v>
      </c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>
      <c r="A405" s="354"/>
      <c r="B405" s="72" t="s">
        <v>1238</v>
      </c>
      <c r="C405" s="93">
        <v>-1168000</v>
      </c>
      <c r="D405" s="51">
        <f t="shared" si="20"/>
        <v>36103098</v>
      </c>
      <c r="E405" s="36" t="s">
        <v>578</v>
      </c>
      <c r="F405" s="62"/>
      <c r="G405" s="59"/>
      <c r="H405" s="59"/>
      <c r="I405" s="59"/>
      <c r="J405" s="59"/>
      <c r="K405" s="59">
        <f t="shared" si="22"/>
        <v>-1168000</v>
      </c>
      <c r="L405" s="2">
        <f t="shared" si="21"/>
        <v>0</v>
      </c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>
      <c r="A406" s="354"/>
      <c r="B406" s="72" t="s">
        <v>1239</v>
      </c>
      <c r="C406" s="93">
        <v>-65000</v>
      </c>
      <c r="D406" s="51">
        <f t="shared" si="20"/>
        <v>36038098</v>
      </c>
      <c r="E406" s="36" t="s">
        <v>578</v>
      </c>
      <c r="F406" s="62"/>
      <c r="G406" s="59"/>
      <c r="H406" s="59"/>
      <c r="I406" s="59"/>
      <c r="J406" s="59"/>
      <c r="K406" s="59">
        <f t="shared" si="22"/>
        <v>-65000</v>
      </c>
      <c r="L406" s="2">
        <f t="shared" si="21"/>
        <v>0</v>
      </c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>
      <c r="A407" s="354"/>
      <c r="B407" s="72" t="s">
        <v>591</v>
      </c>
      <c r="C407" s="93">
        <v>-2127500</v>
      </c>
      <c r="D407" s="51">
        <f t="shared" si="20"/>
        <v>33910598</v>
      </c>
      <c r="E407" s="36" t="s">
        <v>578</v>
      </c>
      <c r="F407" s="62"/>
      <c r="G407" s="59"/>
      <c r="H407" s="59"/>
      <c r="I407" s="59"/>
      <c r="J407" s="59"/>
      <c r="K407" s="59">
        <f t="shared" si="22"/>
        <v>-2127500</v>
      </c>
      <c r="L407" s="2">
        <f t="shared" si="21"/>
        <v>0</v>
      </c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>
      <c r="A408" s="354"/>
      <c r="B408" s="72" t="s">
        <v>1240</v>
      </c>
      <c r="C408" s="93">
        <v>-65000</v>
      </c>
      <c r="D408" s="51">
        <f t="shared" si="20"/>
        <v>33845598</v>
      </c>
      <c r="E408" s="36" t="s">
        <v>578</v>
      </c>
      <c r="F408" s="62"/>
      <c r="G408" s="59"/>
      <c r="H408" s="59"/>
      <c r="I408" s="59"/>
      <c r="J408" s="59"/>
      <c r="K408" s="59">
        <f t="shared" si="22"/>
        <v>-65000</v>
      </c>
      <c r="L408" s="2">
        <f t="shared" si="21"/>
        <v>0</v>
      </c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>
      <c r="A409" s="353"/>
      <c r="B409" s="72" t="s">
        <v>592</v>
      </c>
      <c r="C409" s="93">
        <v>-10000</v>
      </c>
      <c r="D409" s="51">
        <f t="shared" si="20"/>
        <v>33835598</v>
      </c>
      <c r="E409" s="36" t="s">
        <v>578</v>
      </c>
      <c r="F409" s="62"/>
      <c r="G409" s="59"/>
      <c r="H409" s="59"/>
      <c r="I409" s="59"/>
      <c r="J409" s="59"/>
      <c r="K409" s="59">
        <f t="shared" si="22"/>
        <v>-10000</v>
      </c>
      <c r="L409" s="2">
        <f t="shared" si="21"/>
        <v>0</v>
      </c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>
      <c r="B410" s="72" t="s">
        <v>591</v>
      </c>
      <c r="C410" s="93">
        <v>-73500</v>
      </c>
      <c r="D410" s="51">
        <f t="shared" si="20"/>
        <v>33762098</v>
      </c>
      <c r="E410" s="36" t="s">
        <v>578</v>
      </c>
      <c r="F410" s="62"/>
      <c r="G410" s="59"/>
      <c r="H410" s="59"/>
      <c r="I410" s="59"/>
      <c r="J410" s="59"/>
      <c r="K410" s="59">
        <f t="shared" si="22"/>
        <v>-73500</v>
      </c>
      <c r="L410" s="2">
        <f t="shared" si="21"/>
        <v>0</v>
      </c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>
      <c r="A411" s="354"/>
      <c r="B411" s="72" t="s">
        <v>601</v>
      </c>
      <c r="C411" s="93">
        <v>-120000</v>
      </c>
      <c r="D411" s="51">
        <f t="shared" si="20"/>
        <v>33642098</v>
      </c>
      <c r="E411" s="36" t="s">
        <v>578</v>
      </c>
      <c r="F411" s="62"/>
      <c r="G411" s="59"/>
      <c r="H411" s="59"/>
      <c r="I411" s="59"/>
      <c r="J411" s="59"/>
      <c r="K411" s="59">
        <f t="shared" si="22"/>
        <v>-120000</v>
      </c>
      <c r="L411" s="2">
        <f t="shared" si="21"/>
        <v>0</v>
      </c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>
      <c r="A412" s="354"/>
      <c r="B412" s="72" t="s">
        <v>591</v>
      </c>
      <c r="C412" s="93">
        <v>-226000</v>
      </c>
      <c r="D412" s="51">
        <f t="shared" si="20"/>
        <v>33416098</v>
      </c>
      <c r="E412" s="36" t="s">
        <v>578</v>
      </c>
      <c r="F412" s="62"/>
      <c r="G412" s="59"/>
      <c r="H412" s="59"/>
      <c r="I412" s="59"/>
      <c r="J412" s="59"/>
      <c r="K412" s="59">
        <f t="shared" si="22"/>
        <v>-226000</v>
      </c>
      <c r="L412" s="2">
        <f t="shared" si="21"/>
        <v>0</v>
      </c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>
      <c r="A413" s="354"/>
      <c r="B413" s="72" t="s">
        <v>1241</v>
      </c>
      <c r="C413" s="93">
        <v>-182000</v>
      </c>
      <c r="D413" s="51">
        <f t="shared" si="20"/>
        <v>33234098</v>
      </c>
      <c r="E413" s="36" t="s">
        <v>578</v>
      </c>
      <c r="F413" s="62"/>
      <c r="G413" s="59"/>
      <c r="H413" s="59"/>
      <c r="I413" s="59"/>
      <c r="J413" s="59"/>
      <c r="K413" s="59">
        <f t="shared" si="22"/>
        <v>-182000</v>
      </c>
      <c r="L413" s="2">
        <f t="shared" si="21"/>
        <v>0</v>
      </c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>
      <c r="A414" s="354"/>
      <c r="B414" s="72" t="s">
        <v>1242</v>
      </c>
      <c r="C414" s="93">
        <v>-75000</v>
      </c>
      <c r="D414" s="51">
        <f t="shared" si="20"/>
        <v>33159098</v>
      </c>
      <c r="E414" s="36" t="s">
        <v>578</v>
      </c>
      <c r="F414" s="62"/>
      <c r="G414" s="59"/>
      <c r="H414" s="59"/>
      <c r="I414" s="59"/>
      <c r="J414" s="59"/>
      <c r="K414" s="59">
        <f t="shared" si="22"/>
        <v>-75000</v>
      </c>
      <c r="L414" s="2">
        <f t="shared" si="21"/>
        <v>0</v>
      </c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>
      <c r="A415" s="354"/>
      <c r="B415" s="72" t="s">
        <v>18</v>
      </c>
      <c r="C415" s="93">
        <v>160000</v>
      </c>
      <c r="D415" s="51">
        <f t="shared" si="20"/>
        <v>33319098</v>
      </c>
      <c r="E415" s="36" t="s">
        <v>1</v>
      </c>
      <c r="F415" s="62"/>
      <c r="G415" s="59"/>
      <c r="H415" s="59">
        <f>C415</f>
        <v>160000</v>
      </c>
      <c r="I415" s="59"/>
      <c r="J415" s="59"/>
      <c r="K415" s="59"/>
      <c r="L415" s="2">
        <f t="shared" si="21"/>
        <v>0</v>
      </c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>
      <c r="A416" s="354">
        <v>45436</v>
      </c>
      <c r="B416" s="72" t="s">
        <v>577</v>
      </c>
      <c r="C416" s="93">
        <v>-11000</v>
      </c>
      <c r="D416" s="51">
        <f t="shared" si="20"/>
        <v>33308098</v>
      </c>
      <c r="E416" s="36" t="s">
        <v>578</v>
      </c>
      <c r="F416" s="62"/>
      <c r="G416" s="59"/>
      <c r="H416" s="59"/>
      <c r="I416" s="59"/>
      <c r="J416" s="59"/>
      <c r="K416" s="59">
        <f t="shared" si="22"/>
        <v>-11000</v>
      </c>
      <c r="L416" s="2">
        <f t="shared" si="21"/>
        <v>0</v>
      </c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>
      <c r="B417" s="72" t="s">
        <v>1243</v>
      </c>
      <c r="C417" s="93">
        <v>-200000</v>
      </c>
      <c r="D417" s="51">
        <f t="shared" si="20"/>
        <v>33108098</v>
      </c>
      <c r="E417" s="36" t="s">
        <v>578</v>
      </c>
      <c r="F417" s="62"/>
      <c r="G417" s="59"/>
      <c r="H417" s="59"/>
      <c r="I417" s="59"/>
      <c r="J417" s="59"/>
      <c r="K417" s="59">
        <f t="shared" si="22"/>
        <v>-200000</v>
      </c>
      <c r="L417" s="2">
        <f t="shared" si="21"/>
        <v>0</v>
      </c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>
      <c r="A418" s="354"/>
      <c r="B418" s="72" t="s">
        <v>591</v>
      </c>
      <c r="C418" s="93">
        <v>-1680000</v>
      </c>
      <c r="D418" s="51">
        <f t="shared" si="20"/>
        <v>31428098</v>
      </c>
      <c r="E418" s="36" t="s">
        <v>578</v>
      </c>
      <c r="F418" s="62"/>
      <c r="G418" s="59"/>
      <c r="H418" s="59"/>
      <c r="I418" s="59"/>
      <c r="J418" s="59"/>
      <c r="K418" s="59">
        <f t="shared" si="22"/>
        <v>-1680000</v>
      </c>
      <c r="L418" s="2">
        <f t="shared" si="21"/>
        <v>0</v>
      </c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>
      <c r="A419" s="354"/>
      <c r="B419" s="72" t="s">
        <v>1244</v>
      </c>
      <c r="C419" s="93">
        <v>3600000</v>
      </c>
      <c r="D419" s="51">
        <f t="shared" si="20"/>
        <v>35028098</v>
      </c>
      <c r="E419" s="36" t="s">
        <v>61</v>
      </c>
      <c r="F419" s="62"/>
      <c r="G419" s="59"/>
      <c r="H419" s="59"/>
      <c r="I419" s="59">
        <f>C419</f>
        <v>3600000</v>
      </c>
      <c r="J419" s="59"/>
      <c r="K419" s="59"/>
      <c r="L419" s="2">
        <f t="shared" si="21"/>
        <v>0</v>
      </c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>
      <c r="A420" s="354"/>
      <c r="B420" s="72" t="s">
        <v>1245</v>
      </c>
      <c r="C420" s="93">
        <v>-65000</v>
      </c>
      <c r="D420" s="51">
        <f t="shared" si="20"/>
        <v>34963098</v>
      </c>
      <c r="E420" s="36" t="s">
        <v>578</v>
      </c>
      <c r="F420" s="62"/>
      <c r="G420" s="59"/>
      <c r="H420" s="59"/>
      <c r="I420" s="59"/>
      <c r="J420" s="59"/>
      <c r="K420" s="59">
        <f t="shared" si="22"/>
        <v>-65000</v>
      </c>
      <c r="L420" s="2">
        <f t="shared" si="21"/>
        <v>0</v>
      </c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>
      <c r="B421" s="72" t="s">
        <v>584</v>
      </c>
      <c r="C421" s="93">
        <v>-714000</v>
      </c>
      <c r="D421" s="51">
        <f t="shared" si="20"/>
        <v>34249098</v>
      </c>
      <c r="E421" s="36" t="s">
        <v>578</v>
      </c>
      <c r="F421" s="62"/>
      <c r="G421" s="59"/>
      <c r="H421" s="59"/>
      <c r="I421" s="59"/>
      <c r="J421" s="59"/>
      <c r="K421" s="59">
        <f t="shared" si="22"/>
        <v>-714000</v>
      </c>
      <c r="L421" s="2">
        <f t="shared" si="21"/>
        <v>0</v>
      </c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>
      <c r="A422" s="354"/>
      <c r="B422" s="72" t="s">
        <v>975</v>
      </c>
      <c r="C422" s="93">
        <v>-425000</v>
      </c>
      <c r="D422" s="51">
        <f t="shared" si="20"/>
        <v>33824098</v>
      </c>
      <c r="E422" s="36" t="s">
        <v>578</v>
      </c>
      <c r="F422" s="62"/>
      <c r="G422" s="59"/>
      <c r="H422" s="59"/>
      <c r="I422" s="59"/>
      <c r="J422" s="59"/>
      <c r="K422" s="59">
        <f t="shared" si="22"/>
        <v>-425000</v>
      </c>
      <c r="L422" s="2">
        <f t="shared" si="21"/>
        <v>0</v>
      </c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>
      <c r="A423" s="354"/>
      <c r="B423" s="72" t="s">
        <v>1246</v>
      </c>
      <c r="C423" s="93">
        <v>-200000</v>
      </c>
      <c r="D423" s="51">
        <f t="shared" si="20"/>
        <v>33624098</v>
      </c>
      <c r="E423" s="36" t="s">
        <v>578</v>
      </c>
      <c r="F423" s="62"/>
      <c r="G423" s="59"/>
      <c r="H423" s="59"/>
      <c r="I423" s="59"/>
      <c r="J423" s="59"/>
      <c r="K423" s="59">
        <f t="shared" si="22"/>
        <v>-200000</v>
      </c>
      <c r="L423" s="2">
        <f t="shared" si="21"/>
        <v>0</v>
      </c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>
      <c r="A424" s="354"/>
      <c r="B424" s="72" t="s">
        <v>1247</v>
      </c>
      <c r="C424" s="93">
        <v>-1530000</v>
      </c>
      <c r="D424" s="51">
        <f t="shared" si="20"/>
        <v>32094098</v>
      </c>
      <c r="E424" s="36" t="s">
        <v>578</v>
      </c>
      <c r="F424" s="62"/>
      <c r="G424" s="59"/>
      <c r="H424" s="59"/>
      <c r="I424" s="59"/>
      <c r="J424" s="59"/>
      <c r="K424" s="59">
        <f t="shared" si="22"/>
        <v>-1530000</v>
      </c>
      <c r="L424" s="2">
        <f t="shared" si="21"/>
        <v>0</v>
      </c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>
      <c r="A425" s="354"/>
      <c r="B425" s="72" t="s">
        <v>1248</v>
      </c>
      <c r="C425" s="93">
        <v>-200000</v>
      </c>
      <c r="D425" s="51">
        <f t="shared" si="20"/>
        <v>31894098</v>
      </c>
      <c r="E425" s="36" t="s">
        <v>578</v>
      </c>
      <c r="F425" s="62"/>
      <c r="G425" s="59"/>
      <c r="H425" s="59"/>
      <c r="I425" s="59"/>
      <c r="J425" s="59"/>
      <c r="K425" s="59">
        <f t="shared" si="22"/>
        <v>-200000</v>
      </c>
      <c r="L425" s="2">
        <f t="shared" si="21"/>
        <v>0</v>
      </c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>
      <c r="A426" s="354"/>
      <c r="B426" s="72" t="s">
        <v>971</v>
      </c>
      <c r="C426" s="93">
        <v>-214000</v>
      </c>
      <c r="D426" s="51">
        <f t="shared" si="20"/>
        <v>31680098</v>
      </c>
      <c r="E426" s="36" t="s">
        <v>578</v>
      </c>
      <c r="F426" s="62"/>
      <c r="G426" s="59"/>
      <c r="H426" s="59"/>
      <c r="I426" s="59"/>
      <c r="J426" s="59"/>
      <c r="K426" s="59">
        <f t="shared" si="22"/>
        <v>-214000</v>
      </c>
      <c r="L426" s="2">
        <f t="shared" si="21"/>
        <v>0</v>
      </c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>
      <c r="A427" s="354"/>
      <c r="B427" s="72" t="s">
        <v>1249</v>
      </c>
      <c r="C427" s="93">
        <v>-30000</v>
      </c>
      <c r="D427" s="51">
        <f t="shared" si="20"/>
        <v>31650098</v>
      </c>
      <c r="E427" s="36" t="s">
        <v>578</v>
      </c>
      <c r="F427" s="62"/>
      <c r="G427" s="59"/>
      <c r="H427" s="59"/>
      <c r="I427" s="59"/>
      <c r="J427" s="59"/>
      <c r="K427" s="59">
        <f t="shared" si="22"/>
        <v>-30000</v>
      </c>
      <c r="L427" s="2">
        <f t="shared" si="21"/>
        <v>0</v>
      </c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>
      <c r="A428" s="354"/>
      <c r="B428" s="72" t="s">
        <v>970</v>
      </c>
      <c r="C428" s="93">
        <v>-1474500</v>
      </c>
      <c r="D428" s="51">
        <f t="shared" si="20"/>
        <v>30175598</v>
      </c>
      <c r="E428" s="36" t="s">
        <v>578</v>
      </c>
      <c r="F428" s="62"/>
      <c r="G428" s="59"/>
      <c r="H428" s="59"/>
      <c r="I428" s="59"/>
      <c r="J428" s="59"/>
      <c r="K428" s="59">
        <f t="shared" si="22"/>
        <v>-1474500</v>
      </c>
      <c r="L428" s="2">
        <f t="shared" si="21"/>
        <v>0</v>
      </c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>
      <c r="A429" s="354"/>
      <c r="B429" s="72" t="s">
        <v>1234</v>
      </c>
      <c r="C429" s="93">
        <v>-750000</v>
      </c>
      <c r="D429" s="51">
        <f t="shared" si="20"/>
        <v>29425598</v>
      </c>
      <c r="E429" s="36" t="s">
        <v>578</v>
      </c>
      <c r="F429" s="62"/>
      <c r="G429" s="59"/>
      <c r="H429" s="59"/>
      <c r="I429" s="59"/>
      <c r="J429" s="59"/>
      <c r="K429" s="59">
        <f t="shared" si="22"/>
        <v>-750000</v>
      </c>
      <c r="L429" s="2">
        <f t="shared" si="21"/>
        <v>0</v>
      </c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>
      <c r="A430" s="354"/>
      <c r="B430" s="72" t="s">
        <v>1250</v>
      </c>
      <c r="C430" s="93">
        <v>-925000</v>
      </c>
      <c r="D430" s="51">
        <f t="shared" si="20"/>
        <v>28500598</v>
      </c>
      <c r="E430" s="36" t="s">
        <v>578</v>
      </c>
      <c r="F430" s="62"/>
      <c r="G430" s="59"/>
      <c r="H430" s="59"/>
      <c r="I430" s="59"/>
      <c r="J430" s="59"/>
      <c r="K430" s="59">
        <f t="shared" si="22"/>
        <v>-925000</v>
      </c>
      <c r="L430" s="2">
        <f t="shared" si="21"/>
        <v>0</v>
      </c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>
      <c r="A431" s="354"/>
      <c r="B431" s="72" t="s">
        <v>1251</v>
      </c>
      <c r="C431" s="93"/>
      <c r="D431" s="51">
        <f t="shared" si="20"/>
        <v>28500598</v>
      </c>
      <c r="E431" s="36" t="s">
        <v>61</v>
      </c>
      <c r="F431" s="62"/>
      <c r="G431" s="59"/>
      <c r="H431" s="59"/>
      <c r="I431" s="59"/>
      <c r="J431" s="59"/>
      <c r="K431" s="59"/>
      <c r="L431" s="2">
        <f t="shared" si="21"/>
        <v>0</v>
      </c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>
      <c r="A432" s="354"/>
      <c r="B432" s="72" t="s">
        <v>1252</v>
      </c>
      <c r="C432" s="93">
        <v>-91000</v>
      </c>
      <c r="D432" s="51">
        <f t="shared" si="20"/>
        <v>28409598</v>
      </c>
      <c r="E432" s="36" t="s">
        <v>578</v>
      </c>
      <c r="F432" s="62"/>
      <c r="G432" s="59"/>
      <c r="H432" s="59"/>
      <c r="I432" s="59"/>
      <c r="J432" s="59"/>
      <c r="K432" s="59">
        <f t="shared" si="22"/>
        <v>-91000</v>
      </c>
      <c r="L432" s="2">
        <f t="shared" si="21"/>
        <v>0</v>
      </c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>
      <c r="A433" s="354"/>
      <c r="B433" s="72" t="s">
        <v>1071</v>
      </c>
      <c r="C433" s="93">
        <v>-1353000</v>
      </c>
      <c r="D433" s="51">
        <f t="shared" si="20"/>
        <v>27056598</v>
      </c>
      <c r="E433" s="36" t="s">
        <v>578</v>
      </c>
      <c r="F433" s="62"/>
      <c r="G433" s="59"/>
      <c r="H433" s="59"/>
      <c r="I433" s="59"/>
      <c r="J433" s="59"/>
      <c r="K433" s="59">
        <f t="shared" si="22"/>
        <v>-1353000</v>
      </c>
      <c r="L433" s="2">
        <f t="shared" si="21"/>
        <v>0</v>
      </c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>
      <c r="A434" s="354"/>
      <c r="B434" s="72" t="s">
        <v>18</v>
      </c>
      <c r="C434" s="93">
        <v>200000</v>
      </c>
      <c r="D434" s="51">
        <f t="shared" si="20"/>
        <v>27256598</v>
      </c>
      <c r="E434" s="36" t="s">
        <v>1</v>
      </c>
      <c r="F434" s="62"/>
      <c r="G434" s="59"/>
      <c r="H434" s="59">
        <f>C434</f>
        <v>200000</v>
      </c>
      <c r="I434" s="59"/>
      <c r="J434" s="59"/>
      <c r="K434" s="59"/>
      <c r="L434" s="2">
        <f t="shared" si="21"/>
        <v>0</v>
      </c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>
      <c r="A435" s="354"/>
      <c r="B435" s="72" t="s">
        <v>1253</v>
      </c>
      <c r="C435" s="93">
        <v>-80000</v>
      </c>
      <c r="D435" s="51">
        <f t="shared" si="20"/>
        <v>27176598</v>
      </c>
      <c r="E435" s="36" t="s">
        <v>578</v>
      </c>
      <c r="F435" s="62"/>
      <c r="G435" s="59"/>
      <c r="H435" s="59"/>
      <c r="I435" s="59"/>
      <c r="J435" s="59"/>
      <c r="K435" s="59">
        <f t="shared" si="22"/>
        <v>-80000</v>
      </c>
      <c r="L435" s="2">
        <f t="shared" si="21"/>
        <v>0</v>
      </c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>
      <c r="A436" s="354"/>
      <c r="B436" s="72" t="s">
        <v>1254</v>
      </c>
      <c r="C436" s="93">
        <v>-65000</v>
      </c>
      <c r="D436" s="51">
        <f t="shared" si="20"/>
        <v>27111598</v>
      </c>
      <c r="E436" s="36" t="s">
        <v>578</v>
      </c>
      <c r="F436" s="62"/>
      <c r="G436" s="59"/>
      <c r="H436" s="59"/>
      <c r="I436" s="59"/>
      <c r="J436" s="59"/>
      <c r="K436" s="59">
        <f t="shared" si="22"/>
        <v>-65000</v>
      </c>
      <c r="L436" s="2">
        <f t="shared" si="21"/>
        <v>0</v>
      </c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>
      <c r="A437" s="354"/>
      <c r="B437" s="72" t="s">
        <v>1255</v>
      </c>
      <c r="C437" s="93">
        <v>270000</v>
      </c>
      <c r="D437" s="51">
        <f t="shared" si="20"/>
        <v>27381598</v>
      </c>
      <c r="E437" s="36" t="s">
        <v>59</v>
      </c>
      <c r="F437" s="62"/>
      <c r="G437" s="59">
        <f>C437</f>
        <v>270000</v>
      </c>
      <c r="H437" s="59"/>
      <c r="I437" s="59"/>
      <c r="J437" s="59"/>
      <c r="K437" s="59"/>
      <c r="L437" s="2">
        <f t="shared" si="21"/>
        <v>0</v>
      </c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>
      <c r="B438" s="72" t="s">
        <v>591</v>
      </c>
      <c r="C438" s="93">
        <v>-14500</v>
      </c>
      <c r="D438" s="51">
        <f t="shared" si="20"/>
        <v>27367098</v>
      </c>
      <c r="E438" s="36" t="s">
        <v>578</v>
      </c>
      <c r="F438" s="62"/>
      <c r="G438" s="59"/>
      <c r="H438" s="59"/>
      <c r="I438" s="59"/>
      <c r="J438" s="59"/>
      <c r="K438" s="59">
        <f t="shared" ref="K438:K467" si="23">C438</f>
        <v>-14500</v>
      </c>
      <c r="L438" s="2">
        <f t="shared" si="21"/>
        <v>0</v>
      </c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>
      <c r="A439" s="354"/>
      <c r="B439" s="72" t="s">
        <v>1256</v>
      </c>
      <c r="C439" s="93">
        <v>-80000</v>
      </c>
      <c r="D439" s="51">
        <f t="shared" si="20"/>
        <v>27287098</v>
      </c>
      <c r="E439" s="36" t="s">
        <v>578</v>
      </c>
      <c r="F439" s="62"/>
      <c r="G439" s="59"/>
      <c r="H439" s="59"/>
      <c r="I439" s="59"/>
      <c r="J439" s="59"/>
      <c r="K439" s="59">
        <f t="shared" si="23"/>
        <v>-80000</v>
      </c>
      <c r="L439" s="2">
        <f t="shared" si="21"/>
        <v>0</v>
      </c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>
      <c r="A440" s="354">
        <v>45437</v>
      </c>
      <c r="B440" s="72" t="s">
        <v>577</v>
      </c>
      <c r="C440" s="93">
        <v>-11000</v>
      </c>
      <c r="D440" s="51">
        <f t="shared" si="20"/>
        <v>27276098</v>
      </c>
      <c r="E440" s="36" t="s">
        <v>578</v>
      </c>
      <c r="F440" s="62"/>
      <c r="G440" s="59"/>
      <c r="H440" s="59"/>
      <c r="I440" s="59"/>
      <c r="J440" s="59"/>
      <c r="K440" s="59">
        <f t="shared" si="23"/>
        <v>-11000</v>
      </c>
      <c r="L440" s="2">
        <f t="shared" si="21"/>
        <v>0</v>
      </c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>
      <c r="A441" s="354"/>
      <c r="B441" s="72" t="s">
        <v>584</v>
      </c>
      <c r="C441" s="93">
        <v>-646000</v>
      </c>
      <c r="D441" s="51">
        <f t="shared" si="20"/>
        <v>26630098</v>
      </c>
      <c r="E441" s="36" t="s">
        <v>578</v>
      </c>
      <c r="F441" s="62"/>
      <c r="G441" s="59"/>
      <c r="H441" s="59"/>
      <c r="I441" s="59"/>
      <c r="J441" s="59"/>
      <c r="K441" s="59">
        <f t="shared" si="23"/>
        <v>-646000</v>
      </c>
      <c r="L441" s="2">
        <f t="shared" si="21"/>
        <v>0</v>
      </c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>
      <c r="A442" s="354"/>
      <c r="B442" s="72" t="s">
        <v>1257</v>
      </c>
      <c r="C442" s="93">
        <v>6063000</v>
      </c>
      <c r="D442" s="51">
        <f t="shared" si="20"/>
        <v>32693098</v>
      </c>
      <c r="E442" s="36" t="s">
        <v>585</v>
      </c>
      <c r="F442" s="62">
        <f>C442</f>
        <v>6063000</v>
      </c>
      <c r="G442" s="59"/>
      <c r="H442" s="59"/>
      <c r="I442" s="59"/>
      <c r="J442" s="59"/>
      <c r="K442" s="59"/>
      <c r="L442" s="2">
        <f t="shared" si="21"/>
        <v>0</v>
      </c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>
      <c r="A443" s="354"/>
      <c r="B443" s="72" t="s">
        <v>1258</v>
      </c>
      <c r="C443" s="93">
        <v>1000000</v>
      </c>
      <c r="D443" s="51">
        <f t="shared" si="20"/>
        <v>33693098</v>
      </c>
      <c r="E443" s="36" t="s">
        <v>61</v>
      </c>
      <c r="F443" s="62"/>
      <c r="G443" s="59"/>
      <c r="H443" s="59"/>
      <c r="I443" s="59">
        <f>C443</f>
        <v>1000000</v>
      </c>
      <c r="J443" s="59"/>
      <c r="K443" s="59"/>
      <c r="L443" s="2">
        <f t="shared" si="21"/>
        <v>0</v>
      </c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>
      <c r="A444" s="354"/>
      <c r="B444" s="72" t="s">
        <v>591</v>
      </c>
      <c r="C444" s="93">
        <v>-1749000</v>
      </c>
      <c r="D444" s="51">
        <f t="shared" si="20"/>
        <v>31944098</v>
      </c>
      <c r="E444" s="36" t="s">
        <v>578</v>
      </c>
      <c r="F444" s="62"/>
      <c r="G444" s="59"/>
      <c r="H444" s="59"/>
      <c r="I444" s="59"/>
      <c r="J444" s="59"/>
      <c r="K444" s="59">
        <f t="shared" si="23"/>
        <v>-1749000</v>
      </c>
      <c r="L444" s="2">
        <f t="shared" si="21"/>
        <v>0</v>
      </c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>
      <c r="A445" s="354"/>
      <c r="B445" s="72" t="s">
        <v>591</v>
      </c>
      <c r="C445" s="93">
        <v>-95000</v>
      </c>
      <c r="D445" s="51">
        <f t="shared" si="20"/>
        <v>31849098</v>
      </c>
      <c r="E445" s="36" t="s">
        <v>578</v>
      </c>
      <c r="F445" s="62"/>
      <c r="G445" s="59"/>
      <c r="H445" s="59"/>
      <c r="I445" s="59"/>
      <c r="J445" s="59"/>
      <c r="K445" s="59">
        <f t="shared" si="23"/>
        <v>-95000</v>
      </c>
      <c r="L445" s="2">
        <f t="shared" si="21"/>
        <v>0</v>
      </c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>
      <c r="A446" s="354"/>
      <c r="B446" s="72" t="s">
        <v>1259</v>
      </c>
      <c r="C446" s="93">
        <v>-390500</v>
      </c>
      <c r="D446" s="51">
        <f t="shared" si="20"/>
        <v>31458598</v>
      </c>
      <c r="E446" s="36" t="s">
        <v>578</v>
      </c>
      <c r="F446" s="62"/>
      <c r="G446" s="59"/>
      <c r="H446" s="59"/>
      <c r="I446" s="59"/>
      <c r="J446" s="59"/>
      <c r="K446" s="59">
        <f t="shared" si="23"/>
        <v>-390500</v>
      </c>
      <c r="L446" s="2">
        <f t="shared" si="21"/>
        <v>0</v>
      </c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>
      <c r="A447" s="354"/>
      <c r="B447" s="72" t="s">
        <v>586</v>
      </c>
      <c r="C447" s="93">
        <v>-214000</v>
      </c>
      <c r="D447" s="51">
        <f t="shared" si="20"/>
        <v>31244598</v>
      </c>
      <c r="E447" s="36" t="s">
        <v>578</v>
      </c>
      <c r="F447" s="62"/>
      <c r="G447" s="59"/>
      <c r="H447" s="59"/>
      <c r="I447" s="59"/>
      <c r="J447" s="59"/>
      <c r="K447" s="59">
        <f t="shared" si="23"/>
        <v>-214000</v>
      </c>
      <c r="L447" s="2">
        <f t="shared" si="21"/>
        <v>0</v>
      </c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>
      <c r="A448" s="354"/>
      <c r="B448" s="72" t="s">
        <v>1259</v>
      </c>
      <c r="C448" s="93">
        <v>-675000</v>
      </c>
      <c r="D448" s="51">
        <f t="shared" si="20"/>
        <v>30569598</v>
      </c>
      <c r="E448" s="36" t="s">
        <v>578</v>
      </c>
      <c r="F448" s="62"/>
      <c r="G448" s="59"/>
      <c r="H448" s="59"/>
      <c r="I448" s="59"/>
      <c r="J448" s="59"/>
      <c r="K448" s="59">
        <f t="shared" si="23"/>
        <v>-675000</v>
      </c>
      <c r="L448" s="2">
        <f t="shared" si="21"/>
        <v>0</v>
      </c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>
      <c r="A449" s="354"/>
      <c r="B449" s="72" t="s">
        <v>1260</v>
      </c>
      <c r="C449" s="93">
        <v>-65000</v>
      </c>
      <c r="D449" s="51">
        <f t="shared" si="20"/>
        <v>30504598</v>
      </c>
      <c r="E449" s="36" t="s">
        <v>578</v>
      </c>
      <c r="F449" s="62"/>
      <c r="G449" s="59"/>
      <c r="H449" s="59"/>
      <c r="I449" s="59"/>
      <c r="J449" s="59"/>
      <c r="K449" s="59">
        <f t="shared" si="23"/>
        <v>-65000</v>
      </c>
      <c r="L449" s="2">
        <f t="shared" si="21"/>
        <v>0</v>
      </c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>
      <c r="A450" s="354"/>
      <c r="B450" s="72" t="s">
        <v>590</v>
      </c>
      <c r="C450" s="93">
        <v>-83100</v>
      </c>
      <c r="D450" s="51">
        <f t="shared" ref="D450:D513" si="24">SUM(D449,C450)</f>
        <v>30421498</v>
      </c>
      <c r="E450" s="36" t="s">
        <v>578</v>
      </c>
      <c r="F450" s="62"/>
      <c r="G450" s="59"/>
      <c r="H450" s="59"/>
      <c r="I450" s="59"/>
      <c r="J450" s="59"/>
      <c r="K450" s="59">
        <f t="shared" si="23"/>
        <v>-83100</v>
      </c>
      <c r="L450" s="2">
        <f t="shared" si="21"/>
        <v>0</v>
      </c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>
      <c r="A451" s="354"/>
      <c r="B451" s="72" t="s">
        <v>1261</v>
      </c>
      <c r="C451" s="93">
        <v>-70000</v>
      </c>
      <c r="D451" s="51">
        <f t="shared" si="24"/>
        <v>30351498</v>
      </c>
      <c r="E451" s="36" t="s">
        <v>578</v>
      </c>
      <c r="F451" s="62"/>
      <c r="G451" s="59"/>
      <c r="H451" s="59"/>
      <c r="I451" s="59"/>
      <c r="J451" s="59"/>
      <c r="K451" s="59">
        <f t="shared" si="23"/>
        <v>-70000</v>
      </c>
      <c r="L451" s="2">
        <f t="shared" ref="L451:L514" si="25">C451-F451-G451-H451-I451-J451-K451</f>
        <v>0</v>
      </c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>
      <c r="A452" s="354"/>
      <c r="B452" s="72" t="s">
        <v>1262</v>
      </c>
      <c r="C452" s="93">
        <v>-480000</v>
      </c>
      <c r="D452" s="51">
        <f t="shared" si="24"/>
        <v>29871498</v>
      </c>
      <c r="E452" s="36" t="s">
        <v>578</v>
      </c>
      <c r="F452" s="62"/>
      <c r="G452" s="59"/>
      <c r="H452" s="59"/>
      <c r="I452" s="59"/>
      <c r="J452" s="59"/>
      <c r="K452" s="59">
        <f t="shared" si="23"/>
        <v>-480000</v>
      </c>
      <c r="L452" s="2">
        <f t="shared" si="25"/>
        <v>0</v>
      </c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>
      <c r="A453" s="354"/>
      <c r="B453" s="72" t="s">
        <v>1263</v>
      </c>
      <c r="C453" s="93">
        <v>-120000</v>
      </c>
      <c r="D453" s="51">
        <f t="shared" si="24"/>
        <v>29751498</v>
      </c>
      <c r="E453" s="36" t="s">
        <v>578</v>
      </c>
      <c r="F453" s="62"/>
      <c r="G453" s="59"/>
      <c r="H453" s="59"/>
      <c r="I453" s="59"/>
      <c r="J453" s="59"/>
      <c r="K453" s="59">
        <f t="shared" si="23"/>
        <v>-120000</v>
      </c>
      <c r="L453" s="2">
        <f t="shared" si="25"/>
        <v>0</v>
      </c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>
      <c r="A454" s="354"/>
      <c r="B454" s="72" t="s">
        <v>579</v>
      </c>
      <c r="C454" s="93">
        <v>-96000</v>
      </c>
      <c r="D454" s="51">
        <f t="shared" si="24"/>
        <v>29655498</v>
      </c>
      <c r="E454" s="36" t="s">
        <v>578</v>
      </c>
      <c r="F454" s="62"/>
      <c r="G454" s="59"/>
      <c r="H454" s="59"/>
      <c r="I454" s="59"/>
      <c r="J454" s="59"/>
      <c r="K454" s="59">
        <f t="shared" si="23"/>
        <v>-96000</v>
      </c>
      <c r="L454" s="2">
        <f t="shared" si="25"/>
        <v>0</v>
      </c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>
      <c r="A455" s="354"/>
      <c r="B455" s="72" t="s">
        <v>579</v>
      </c>
      <c r="C455" s="93">
        <v>-715000</v>
      </c>
      <c r="D455" s="51">
        <f t="shared" si="24"/>
        <v>28940498</v>
      </c>
      <c r="E455" s="36" t="s">
        <v>578</v>
      </c>
      <c r="F455" s="62"/>
      <c r="G455" s="59"/>
      <c r="H455" s="59"/>
      <c r="I455" s="59"/>
      <c r="J455" s="59"/>
      <c r="K455" s="59">
        <f t="shared" si="23"/>
        <v>-715000</v>
      </c>
      <c r="L455" s="2">
        <f t="shared" si="25"/>
        <v>0</v>
      </c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>
      <c r="A456" s="354"/>
      <c r="B456" s="72" t="s">
        <v>1005</v>
      </c>
      <c r="C456" s="93">
        <v>-288000</v>
      </c>
      <c r="D456" s="51">
        <f t="shared" si="24"/>
        <v>28652498</v>
      </c>
      <c r="E456" s="36" t="s">
        <v>578</v>
      </c>
      <c r="F456" s="62"/>
      <c r="G456" s="59"/>
      <c r="H456" s="59"/>
      <c r="I456" s="59"/>
      <c r="J456" s="59"/>
      <c r="K456" s="59">
        <f t="shared" si="23"/>
        <v>-288000</v>
      </c>
      <c r="L456" s="2">
        <f t="shared" si="25"/>
        <v>0</v>
      </c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>
      <c r="A457" s="354"/>
      <c r="B457" s="72" t="s">
        <v>591</v>
      </c>
      <c r="C457" s="93">
        <v>-2375000</v>
      </c>
      <c r="D457" s="51">
        <f t="shared" si="24"/>
        <v>26277498</v>
      </c>
      <c r="E457" s="36" t="s">
        <v>578</v>
      </c>
      <c r="F457" s="62"/>
      <c r="G457" s="59"/>
      <c r="H457" s="59"/>
      <c r="I457" s="59"/>
      <c r="J457" s="59"/>
      <c r="K457" s="59">
        <f t="shared" si="23"/>
        <v>-2375000</v>
      </c>
      <c r="L457" s="2">
        <f t="shared" si="25"/>
        <v>0</v>
      </c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>
      <c r="A458" s="354"/>
      <c r="B458" s="72" t="s">
        <v>1264</v>
      </c>
      <c r="C458" s="93"/>
      <c r="D458" s="51">
        <f t="shared" si="24"/>
        <v>26277498</v>
      </c>
      <c r="E458" s="36" t="s">
        <v>61</v>
      </c>
      <c r="F458" s="62"/>
      <c r="G458" s="59"/>
      <c r="H458" s="59"/>
      <c r="I458" s="59"/>
      <c r="J458" s="59"/>
      <c r="K458" s="59">
        <f t="shared" si="23"/>
        <v>0</v>
      </c>
      <c r="L458" s="2">
        <f t="shared" si="25"/>
        <v>0</v>
      </c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>
      <c r="A459" s="354"/>
      <c r="B459" s="72" t="s">
        <v>1265</v>
      </c>
      <c r="C459" s="93">
        <v>-93750</v>
      </c>
      <c r="D459" s="51">
        <f t="shared" si="24"/>
        <v>26183748</v>
      </c>
      <c r="E459" s="36" t="s">
        <v>578</v>
      </c>
      <c r="F459" s="62"/>
      <c r="G459" s="59"/>
      <c r="H459" s="59"/>
      <c r="I459" s="59"/>
      <c r="J459" s="59"/>
      <c r="K459" s="59">
        <f t="shared" si="23"/>
        <v>-93750</v>
      </c>
      <c r="L459" s="2">
        <f t="shared" si="25"/>
        <v>0</v>
      </c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>
      <c r="A460" s="354"/>
      <c r="B460" s="72" t="s">
        <v>18</v>
      </c>
      <c r="C460" s="93">
        <v>170000</v>
      </c>
      <c r="D460" s="51">
        <f t="shared" si="24"/>
        <v>26353748</v>
      </c>
      <c r="E460" s="36" t="s">
        <v>1</v>
      </c>
      <c r="F460" s="62"/>
      <c r="G460" s="59"/>
      <c r="H460" s="59">
        <f>C460</f>
        <v>170000</v>
      </c>
      <c r="I460" s="59"/>
      <c r="J460" s="59"/>
      <c r="K460" s="59"/>
      <c r="L460" s="2">
        <f t="shared" si="25"/>
        <v>0</v>
      </c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>
      <c r="A461" s="354"/>
      <c r="B461" s="72" t="s">
        <v>1266</v>
      </c>
      <c r="C461" s="93">
        <v>-65000</v>
      </c>
      <c r="D461" s="51">
        <f t="shared" si="24"/>
        <v>26288748</v>
      </c>
      <c r="E461" s="36" t="s">
        <v>578</v>
      </c>
      <c r="F461" s="62"/>
      <c r="G461" s="59"/>
      <c r="H461" s="59"/>
      <c r="I461" s="59"/>
      <c r="J461" s="59"/>
      <c r="K461" s="59">
        <f t="shared" si="23"/>
        <v>-65000</v>
      </c>
      <c r="L461" s="2">
        <f t="shared" si="25"/>
        <v>0</v>
      </c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>
      <c r="A462" s="354"/>
      <c r="B462" s="72" t="s">
        <v>1267</v>
      </c>
      <c r="C462" s="93">
        <v>-65000</v>
      </c>
      <c r="D462" s="51">
        <f t="shared" si="24"/>
        <v>26223748</v>
      </c>
      <c r="E462" s="36" t="s">
        <v>578</v>
      </c>
      <c r="F462" s="62"/>
      <c r="G462" s="59"/>
      <c r="H462" s="59"/>
      <c r="I462" s="59"/>
      <c r="J462" s="59"/>
      <c r="K462" s="59">
        <f t="shared" si="23"/>
        <v>-65000</v>
      </c>
      <c r="L462" s="2">
        <f t="shared" si="25"/>
        <v>0</v>
      </c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>
      <c r="A463" s="354"/>
      <c r="B463" s="72" t="s">
        <v>1268</v>
      </c>
      <c r="C463" s="93">
        <v>-400000</v>
      </c>
      <c r="D463" s="51">
        <f t="shared" si="24"/>
        <v>25823748</v>
      </c>
      <c r="E463" s="36" t="s">
        <v>578</v>
      </c>
      <c r="F463" s="62"/>
      <c r="G463" s="59"/>
      <c r="H463" s="59"/>
      <c r="I463" s="59"/>
      <c r="J463" s="59"/>
      <c r="K463" s="59">
        <f t="shared" si="23"/>
        <v>-400000</v>
      </c>
      <c r="L463" s="2">
        <f t="shared" si="25"/>
        <v>0</v>
      </c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>
      <c r="A464" s="354"/>
      <c r="B464" s="72" t="s">
        <v>1269</v>
      </c>
      <c r="C464" s="93">
        <v>-120000</v>
      </c>
      <c r="D464" s="51">
        <f t="shared" si="24"/>
        <v>25703748</v>
      </c>
      <c r="E464" s="36" t="s">
        <v>578</v>
      </c>
      <c r="F464" s="62"/>
      <c r="G464" s="59"/>
      <c r="H464" s="59"/>
      <c r="I464" s="59"/>
      <c r="J464" s="59"/>
      <c r="K464" s="59">
        <f t="shared" si="23"/>
        <v>-120000</v>
      </c>
      <c r="L464" s="2">
        <f t="shared" si="25"/>
        <v>0</v>
      </c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>
      <c r="A465" s="354"/>
      <c r="B465" s="72" t="s">
        <v>1270</v>
      </c>
      <c r="C465" s="93">
        <v>-120000</v>
      </c>
      <c r="D465" s="51">
        <f t="shared" si="24"/>
        <v>25583748</v>
      </c>
      <c r="E465" s="36" t="s">
        <v>578</v>
      </c>
      <c r="F465" s="62"/>
      <c r="G465" s="59"/>
      <c r="H465" s="59"/>
      <c r="I465" s="59"/>
      <c r="J465" s="59"/>
      <c r="K465" s="59">
        <f t="shared" si="23"/>
        <v>-120000</v>
      </c>
      <c r="L465" s="2">
        <f t="shared" si="25"/>
        <v>0</v>
      </c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>
      <c r="A466" s="354"/>
      <c r="B466" s="72" t="s">
        <v>1271</v>
      </c>
      <c r="C466" s="93">
        <v>-100000</v>
      </c>
      <c r="D466" s="51">
        <f t="shared" si="24"/>
        <v>25483748</v>
      </c>
      <c r="E466" s="36" t="s">
        <v>578</v>
      </c>
      <c r="F466" s="62"/>
      <c r="G466" s="59"/>
      <c r="H466" s="59"/>
      <c r="I466" s="59"/>
      <c r="J466" s="59"/>
      <c r="K466" s="59">
        <f t="shared" si="23"/>
        <v>-100000</v>
      </c>
      <c r="L466" s="2">
        <f t="shared" si="25"/>
        <v>0</v>
      </c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>
      <c r="A467" s="354"/>
      <c r="B467" s="72" t="s">
        <v>1272</v>
      </c>
      <c r="C467" s="93">
        <v>-18600</v>
      </c>
      <c r="D467" s="51">
        <f t="shared" si="24"/>
        <v>25465148</v>
      </c>
      <c r="E467" s="36" t="s">
        <v>578</v>
      </c>
      <c r="F467" s="62"/>
      <c r="G467" s="59"/>
      <c r="H467" s="59"/>
      <c r="I467" s="59"/>
      <c r="J467" s="59"/>
      <c r="K467" s="59">
        <f t="shared" si="23"/>
        <v>-18600</v>
      </c>
      <c r="L467" s="2">
        <f t="shared" si="25"/>
        <v>0</v>
      </c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>
      <c r="A468" s="354">
        <v>45438</v>
      </c>
      <c r="B468" s="72" t="s">
        <v>1273</v>
      </c>
      <c r="C468" s="93">
        <v>680000</v>
      </c>
      <c r="D468" s="51">
        <f t="shared" si="24"/>
        <v>26145148</v>
      </c>
      <c r="E468" s="36" t="s">
        <v>585</v>
      </c>
      <c r="F468" s="62">
        <f>C468</f>
        <v>680000</v>
      </c>
      <c r="G468" s="59"/>
      <c r="H468" s="59"/>
      <c r="I468" s="59"/>
      <c r="J468" s="59"/>
      <c r="K468" s="59"/>
      <c r="L468" s="2">
        <f t="shared" si="25"/>
        <v>0</v>
      </c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>
      <c r="B469" s="72" t="s">
        <v>1274</v>
      </c>
      <c r="C469" s="93">
        <v>11000000</v>
      </c>
      <c r="D469" s="51">
        <f t="shared" si="24"/>
        <v>37145148</v>
      </c>
      <c r="E469" s="36" t="s">
        <v>585</v>
      </c>
      <c r="F469" s="62">
        <f>C469</f>
        <v>11000000</v>
      </c>
      <c r="G469" s="59"/>
      <c r="H469" s="59"/>
      <c r="I469" s="59"/>
      <c r="J469" s="59"/>
      <c r="K469" s="59"/>
      <c r="L469" s="2">
        <f t="shared" si="25"/>
        <v>0</v>
      </c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>
      <c r="A470" s="353"/>
      <c r="B470" s="72" t="s">
        <v>577</v>
      </c>
      <c r="C470" s="93">
        <v>-11000</v>
      </c>
      <c r="D470" s="51">
        <f t="shared" si="24"/>
        <v>37134148</v>
      </c>
      <c r="E470" s="36" t="s">
        <v>578</v>
      </c>
      <c r="F470" s="62"/>
      <c r="G470" s="59"/>
      <c r="H470" s="59"/>
      <c r="I470" s="59"/>
      <c r="J470" s="59"/>
      <c r="K470" s="59">
        <f>C470</f>
        <v>-11000</v>
      </c>
      <c r="L470" s="2">
        <f t="shared" si="25"/>
        <v>0</v>
      </c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>
      <c r="A471" s="353"/>
      <c r="B471" s="72" t="s">
        <v>1238</v>
      </c>
      <c r="C471" s="93">
        <v>-680000</v>
      </c>
      <c r="D471" s="51">
        <f t="shared" si="24"/>
        <v>36454148</v>
      </c>
      <c r="E471" s="36" t="s">
        <v>578</v>
      </c>
      <c r="F471" s="62"/>
      <c r="G471" s="59"/>
      <c r="H471" s="59"/>
      <c r="I471" s="59"/>
      <c r="J471" s="59"/>
      <c r="K471" s="59">
        <f>C471</f>
        <v>-680000</v>
      </c>
      <c r="L471" s="2">
        <f t="shared" si="25"/>
        <v>0</v>
      </c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>
      <c r="A472" s="353"/>
      <c r="B472" s="72" t="s">
        <v>1275</v>
      </c>
      <c r="C472" s="93">
        <v>1240000</v>
      </c>
      <c r="D472" s="51">
        <f t="shared" si="24"/>
        <v>37694148</v>
      </c>
      <c r="E472" s="36" t="s">
        <v>585</v>
      </c>
      <c r="F472" s="62">
        <f>C472</f>
        <v>1240000</v>
      </c>
      <c r="G472" s="59"/>
      <c r="H472" s="59"/>
      <c r="I472" s="59"/>
      <c r="J472" s="59"/>
      <c r="K472" s="59"/>
      <c r="L472" s="2">
        <f t="shared" si="25"/>
        <v>0</v>
      </c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>
      <c r="A473" s="353"/>
      <c r="B473" s="72" t="s">
        <v>1276</v>
      </c>
      <c r="C473" s="93"/>
      <c r="D473" s="51">
        <f t="shared" si="24"/>
        <v>37694148</v>
      </c>
      <c r="E473" s="36" t="s">
        <v>585</v>
      </c>
      <c r="F473" s="62">
        <f>C473</f>
        <v>0</v>
      </c>
      <c r="G473" s="59"/>
      <c r="H473" s="59"/>
      <c r="I473" s="59"/>
      <c r="J473" s="59"/>
      <c r="K473" s="59"/>
      <c r="L473" s="2">
        <f t="shared" si="25"/>
        <v>0</v>
      </c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>
      <c r="A474" s="6"/>
      <c r="B474" s="72" t="s">
        <v>1277</v>
      </c>
      <c r="C474" s="93">
        <v>40000</v>
      </c>
      <c r="D474" s="51">
        <f t="shared" si="24"/>
        <v>37734148</v>
      </c>
      <c r="E474" s="36" t="s">
        <v>1</v>
      </c>
      <c r="F474" s="62"/>
      <c r="G474" s="59"/>
      <c r="H474" s="59">
        <f>C474</f>
        <v>40000</v>
      </c>
      <c r="I474" s="59"/>
      <c r="J474" s="59"/>
      <c r="K474" s="59"/>
      <c r="L474" s="2">
        <f t="shared" si="25"/>
        <v>0</v>
      </c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>
      <c r="A475" s="353"/>
      <c r="B475" s="72" t="s">
        <v>1278</v>
      </c>
      <c r="C475" s="93">
        <v>-260000</v>
      </c>
      <c r="D475" s="51">
        <f t="shared" si="24"/>
        <v>37474148</v>
      </c>
      <c r="E475" s="36" t="s">
        <v>578</v>
      </c>
      <c r="F475" s="62"/>
      <c r="G475" s="59"/>
      <c r="H475" s="59"/>
      <c r="I475" s="59"/>
      <c r="J475" s="59"/>
      <c r="K475" s="59">
        <f>C475</f>
        <v>-260000</v>
      </c>
      <c r="L475" s="2">
        <f t="shared" si="25"/>
        <v>0</v>
      </c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5" customFormat="1" ht="15" customHeight="1">
      <c r="A476" s="353"/>
      <c r="B476" s="72" t="s">
        <v>1259</v>
      </c>
      <c r="C476" s="93">
        <v>-68000</v>
      </c>
      <c r="D476" s="51">
        <f t="shared" si="24"/>
        <v>37406148</v>
      </c>
      <c r="E476" s="36" t="s">
        <v>578</v>
      </c>
      <c r="F476" s="62"/>
      <c r="G476" s="59"/>
      <c r="H476" s="59"/>
      <c r="I476" s="59"/>
      <c r="J476" s="59"/>
      <c r="K476" s="59">
        <f t="shared" ref="K476:K480" si="26">C476</f>
        <v>-68000</v>
      </c>
      <c r="L476" s="2">
        <f t="shared" si="25"/>
        <v>0</v>
      </c>
      <c r="M476" s="2"/>
      <c r="N476" s="2"/>
      <c r="O476" s="2"/>
      <c r="P476" s="2"/>
      <c r="Q476" s="2"/>
      <c r="R476" s="3"/>
      <c r="S476" s="3"/>
      <c r="T476" s="2"/>
      <c r="U476" s="2"/>
      <c r="V476" s="4"/>
      <c r="W476" s="4"/>
    </row>
    <row r="477" spans="1:23" s="5" customFormat="1" ht="15" customHeight="1">
      <c r="A477" s="353"/>
      <c r="B477" s="72" t="s">
        <v>1279</v>
      </c>
      <c r="C477" s="93">
        <v>-65000</v>
      </c>
      <c r="D477" s="51">
        <f t="shared" si="24"/>
        <v>37341148</v>
      </c>
      <c r="E477" s="36" t="s">
        <v>578</v>
      </c>
      <c r="F477" s="62"/>
      <c r="G477" s="59"/>
      <c r="H477" s="59"/>
      <c r="I477" s="59"/>
      <c r="J477" s="59"/>
      <c r="K477" s="59">
        <f t="shared" si="26"/>
        <v>-65000</v>
      </c>
      <c r="L477" s="2">
        <f t="shared" si="25"/>
        <v>0</v>
      </c>
      <c r="M477" s="2"/>
      <c r="N477" s="2"/>
      <c r="O477" s="2"/>
      <c r="P477" s="2"/>
      <c r="Q477" s="2"/>
      <c r="R477" s="3"/>
      <c r="S477" s="3"/>
      <c r="T477" s="2"/>
      <c r="U477" s="2"/>
      <c r="V477" s="4"/>
      <c r="W477" s="4"/>
    </row>
    <row r="478" spans="1:23" s="5" customFormat="1" ht="15" customHeight="1">
      <c r="A478" s="353"/>
      <c r="B478" s="72" t="s">
        <v>591</v>
      </c>
      <c r="C478" s="93">
        <v>-1138500</v>
      </c>
      <c r="D478" s="51">
        <f t="shared" si="24"/>
        <v>36202648</v>
      </c>
      <c r="E478" s="36" t="s">
        <v>578</v>
      </c>
      <c r="F478" s="62"/>
      <c r="G478" s="59"/>
      <c r="H478" s="59"/>
      <c r="I478" s="59"/>
      <c r="J478" s="59"/>
      <c r="K478" s="59">
        <f t="shared" si="26"/>
        <v>-1138500</v>
      </c>
      <c r="L478" s="2">
        <f t="shared" si="25"/>
        <v>0</v>
      </c>
      <c r="M478" s="2"/>
      <c r="N478" s="2"/>
      <c r="O478" s="2"/>
      <c r="P478" s="2"/>
      <c r="Q478" s="2"/>
      <c r="R478" s="3"/>
      <c r="S478" s="3"/>
      <c r="T478" s="2"/>
      <c r="U478" s="2"/>
      <c r="V478" s="4"/>
      <c r="W478" s="4"/>
    </row>
    <row r="479" spans="1:23" s="5" customFormat="1" ht="15" customHeight="1">
      <c r="A479" s="354"/>
      <c r="B479" s="72" t="s">
        <v>1280</v>
      </c>
      <c r="C479" s="93">
        <v>-65000</v>
      </c>
      <c r="D479" s="51">
        <f t="shared" si="24"/>
        <v>36137648</v>
      </c>
      <c r="E479" s="36" t="s">
        <v>578</v>
      </c>
      <c r="F479" s="62"/>
      <c r="G479" s="59"/>
      <c r="H479" s="59"/>
      <c r="I479" s="59"/>
      <c r="J479" s="59"/>
      <c r="K479" s="59">
        <f t="shared" si="26"/>
        <v>-65000</v>
      </c>
      <c r="L479" s="2">
        <f t="shared" si="25"/>
        <v>0</v>
      </c>
      <c r="M479" s="2"/>
      <c r="N479" s="2"/>
      <c r="O479" s="2"/>
      <c r="P479" s="2"/>
      <c r="Q479" s="2"/>
      <c r="R479" s="3"/>
      <c r="S479" s="3"/>
      <c r="T479" s="2"/>
      <c r="U479" s="2"/>
      <c r="V479" s="4"/>
      <c r="W479" s="4"/>
    </row>
    <row r="480" spans="1:23" s="5" customFormat="1" ht="15" customHeight="1">
      <c r="B480" s="72" t="s">
        <v>591</v>
      </c>
      <c r="C480" s="93">
        <v>-2329000</v>
      </c>
      <c r="D480" s="51">
        <f t="shared" si="24"/>
        <v>33808648</v>
      </c>
      <c r="E480" s="36" t="s">
        <v>578</v>
      </c>
      <c r="F480" s="62"/>
      <c r="G480" s="59"/>
      <c r="H480" s="59"/>
      <c r="I480" s="59"/>
      <c r="J480" s="59"/>
      <c r="K480" s="59">
        <f t="shared" si="26"/>
        <v>-2329000</v>
      </c>
      <c r="L480" s="2">
        <f t="shared" si="25"/>
        <v>0</v>
      </c>
      <c r="M480" s="2"/>
      <c r="N480" s="2"/>
      <c r="O480" s="2"/>
      <c r="P480" s="2"/>
      <c r="Q480" s="2"/>
      <c r="R480" s="3"/>
      <c r="S480" s="3"/>
      <c r="T480" s="2"/>
      <c r="U480" s="2"/>
      <c r="V480" s="4"/>
      <c r="W480" s="4"/>
    </row>
    <row r="481" spans="1:23" s="5" customFormat="1" ht="15" customHeight="1">
      <c r="A481" s="354"/>
      <c r="B481" s="72" t="s">
        <v>1281</v>
      </c>
      <c r="C481" s="93">
        <v>5300000</v>
      </c>
      <c r="D481" s="51">
        <f t="shared" si="24"/>
        <v>39108648</v>
      </c>
      <c r="E481" s="36" t="s">
        <v>585</v>
      </c>
      <c r="F481" s="62">
        <f>C481</f>
        <v>5300000</v>
      </c>
      <c r="G481" s="59"/>
      <c r="H481" s="59"/>
      <c r="I481" s="59"/>
      <c r="J481" s="59"/>
      <c r="K481" s="59"/>
      <c r="L481" s="2">
        <f t="shared" si="25"/>
        <v>0</v>
      </c>
      <c r="M481" s="2"/>
      <c r="N481" s="2"/>
      <c r="O481" s="2"/>
      <c r="P481" s="2"/>
      <c r="Q481" s="2"/>
      <c r="R481" s="3"/>
      <c r="S481" s="3"/>
      <c r="T481" s="2"/>
      <c r="U481" s="2"/>
      <c r="V481" s="4"/>
      <c r="W481" s="4"/>
    </row>
    <row r="482" spans="1:23" s="5" customFormat="1" ht="15" customHeight="1">
      <c r="B482" s="72" t="s">
        <v>1282</v>
      </c>
      <c r="C482" s="93">
        <v>-93750</v>
      </c>
      <c r="D482" s="51">
        <f t="shared" si="24"/>
        <v>39014898</v>
      </c>
      <c r="E482" s="36" t="s">
        <v>578</v>
      </c>
      <c r="F482" s="62"/>
      <c r="G482" s="59"/>
      <c r="H482" s="59"/>
      <c r="I482" s="59"/>
      <c r="J482" s="59"/>
      <c r="K482" s="59">
        <f>C482</f>
        <v>-93750</v>
      </c>
      <c r="L482" s="2">
        <f t="shared" si="25"/>
        <v>0</v>
      </c>
      <c r="M482" s="2"/>
      <c r="N482" s="2"/>
      <c r="O482" s="2"/>
      <c r="P482" s="2"/>
      <c r="Q482" s="2"/>
      <c r="R482" s="3"/>
      <c r="S482" s="3"/>
      <c r="T482" s="2"/>
      <c r="U482" s="2"/>
      <c r="V482" s="4"/>
      <c r="W482" s="4"/>
    </row>
    <row r="483" spans="1:23" s="5" customFormat="1" ht="15" customHeight="1">
      <c r="A483" s="354"/>
      <c r="B483" s="72" t="s">
        <v>18</v>
      </c>
      <c r="C483" s="93">
        <v>130000</v>
      </c>
      <c r="D483" s="51">
        <f t="shared" si="24"/>
        <v>39144898</v>
      </c>
      <c r="E483" s="36" t="s">
        <v>1</v>
      </c>
      <c r="F483" s="62"/>
      <c r="G483" s="59"/>
      <c r="H483" s="59">
        <f>C483</f>
        <v>130000</v>
      </c>
      <c r="I483" s="59"/>
      <c r="J483" s="59"/>
      <c r="K483" s="59"/>
      <c r="L483" s="2">
        <f t="shared" si="25"/>
        <v>0</v>
      </c>
      <c r="M483" s="2"/>
      <c r="N483" s="2"/>
      <c r="O483" s="2"/>
      <c r="P483" s="2"/>
      <c r="Q483" s="2"/>
      <c r="R483" s="3"/>
      <c r="S483" s="3"/>
      <c r="T483" s="2"/>
      <c r="U483" s="2"/>
      <c r="V483" s="4"/>
      <c r="W483" s="4"/>
    </row>
    <row r="484" spans="1:23" s="5" customFormat="1" ht="15" customHeight="1">
      <c r="A484" s="6"/>
      <c r="B484" s="72" t="s">
        <v>591</v>
      </c>
      <c r="C484" s="93">
        <v>-27900</v>
      </c>
      <c r="D484" s="51">
        <f t="shared" si="24"/>
        <v>39116998</v>
      </c>
      <c r="E484" s="36" t="s">
        <v>578</v>
      </c>
      <c r="F484" s="62"/>
      <c r="G484" s="59"/>
      <c r="H484" s="59"/>
      <c r="I484" s="59"/>
      <c r="J484" s="59"/>
      <c r="K484" s="59">
        <f>C484</f>
        <v>-27900</v>
      </c>
      <c r="L484" s="2">
        <f t="shared" si="25"/>
        <v>0</v>
      </c>
      <c r="M484" s="2"/>
      <c r="N484" s="2"/>
      <c r="O484" s="2"/>
      <c r="P484" s="2"/>
      <c r="Q484" s="2"/>
      <c r="R484" s="3"/>
      <c r="S484" s="3"/>
      <c r="T484" s="2"/>
      <c r="U484" s="2"/>
      <c r="V484" s="4"/>
      <c r="W484" s="4"/>
    </row>
    <row r="485" spans="1:23" s="5" customFormat="1" ht="15" customHeight="1">
      <c r="A485" s="354"/>
      <c r="B485" s="72" t="s">
        <v>1283</v>
      </c>
      <c r="C485" s="93">
        <v>15975000</v>
      </c>
      <c r="D485" s="51">
        <f t="shared" si="24"/>
        <v>55091998</v>
      </c>
      <c r="E485" s="36" t="s">
        <v>585</v>
      </c>
      <c r="F485" s="62">
        <f>C485</f>
        <v>15975000</v>
      </c>
      <c r="G485" s="59"/>
      <c r="H485" s="59"/>
      <c r="I485" s="59"/>
      <c r="J485" s="59"/>
      <c r="K485" s="59"/>
      <c r="L485" s="2">
        <f t="shared" si="25"/>
        <v>0</v>
      </c>
      <c r="M485" s="2"/>
      <c r="N485" s="2"/>
      <c r="O485" s="2"/>
      <c r="P485" s="2"/>
      <c r="Q485" s="2"/>
      <c r="R485" s="3"/>
      <c r="S485" s="3"/>
      <c r="T485" s="2"/>
      <c r="U485" s="2"/>
      <c r="V485" s="4"/>
      <c r="W485" s="4"/>
    </row>
    <row r="486" spans="1:23" s="5" customFormat="1" ht="15" customHeight="1">
      <c r="A486" s="354">
        <v>45439</v>
      </c>
      <c r="B486" s="72" t="s">
        <v>577</v>
      </c>
      <c r="C486" s="93">
        <v>-11000</v>
      </c>
      <c r="D486" s="51">
        <f t="shared" si="24"/>
        <v>55080998</v>
      </c>
      <c r="E486" s="36" t="s">
        <v>578</v>
      </c>
      <c r="F486" s="62"/>
      <c r="G486" s="59"/>
      <c r="H486" s="59"/>
      <c r="I486" s="59"/>
      <c r="J486" s="59"/>
      <c r="K486" s="59">
        <f t="shared" ref="K486:K549" si="27">C486</f>
        <v>-11000</v>
      </c>
      <c r="L486" s="2">
        <f t="shared" si="25"/>
        <v>0</v>
      </c>
      <c r="M486" s="2"/>
      <c r="N486" s="2"/>
      <c r="O486" s="2"/>
      <c r="P486" s="2"/>
      <c r="Q486" s="2"/>
      <c r="R486" s="3"/>
      <c r="S486" s="3"/>
      <c r="T486" s="2"/>
      <c r="U486" s="2"/>
      <c r="V486" s="4"/>
      <c r="W486" s="4"/>
    </row>
    <row r="487" spans="1:23" s="5" customFormat="1" ht="15" customHeight="1">
      <c r="B487" s="72" t="s">
        <v>1284</v>
      </c>
      <c r="C487" s="93">
        <v>2400000</v>
      </c>
      <c r="D487" s="51">
        <f t="shared" si="24"/>
        <v>57480998</v>
      </c>
      <c r="E487" s="36" t="s">
        <v>61</v>
      </c>
      <c r="F487" s="62"/>
      <c r="G487" s="59"/>
      <c r="H487" s="59"/>
      <c r="I487" s="59">
        <f>C487</f>
        <v>2400000</v>
      </c>
      <c r="J487" s="59"/>
      <c r="K487" s="59"/>
      <c r="L487" s="2">
        <f t="shared" si="25"/>
        <v>0</v>
      </c>
      <c r="M487" s="2"/>
      <c r="N487" s="2"/>
      <c r="O487" s="2"/>
      <c r="P487" s="2"/>
      <c r="Q487" s="2"/>
      <c r="R487" s="3"/>
      <c r="S487" s="3"/>
      <c r="T487" s="2"/>
      <c r="U487" s="2"/>
      <c r="V487" s="4"/>
      <c r="W487" s="4"/>
    </row>
    <row r="488" spans="1:23" s="5" customFormat="1" ht="15" customHeight="1">
      <c r="A488" s="354"/>
      <c r="B488" s="72" t="s">
        <v>584</v>
      </c>
      <c r="C488" s="93">
        <v>-1059000</v>
      </c>
      <c r="D488" s="51">
        <f t="shared" si="24"/>
        <v>56421998</v>
      </c>
      <c r="E488" s="36" t="s">
        <v>578</v>
      </c>
      <c r="F488" s="62"/>
      <c r="G488" s="59"/>
      <c r="H488" s="59"/>
      <c r="I488" s="59"/>
      <c r="J488" s="59"/>
      <c r="K488" s="59">
        <f t="shared" si="27"/>
        <v>-1059000</v>
      </c>
      <c r="L488" s="2">
        <f t="shared" si="25"/>
        <v>0</v>
      </c>
      <c r="M488" s="2"/>
      <c r="N488" s="2"/>
      <c r="O488" s="2"/>
      <c r="P488" s="2"/>
      <c r="Q488" s="2"/>
      <c r="R488" s="3"/>
      <c r="S488" s="3"/>
      <c r="T488" s="2"/>
      <c r="U488" s="2"/>
      <c r="V488" s="4"/>
      <c r="W488" s="4"/>
    </row>
    <row r="489" spans="1:23" s="5" customFormat="1" ht="15" customHeight="1">
      <c r="B489" s="72" t="s">
        <v>1285</v>
      </c>
      <c r="C489" s="93">
        <v>-65000</v>
      </c>
      <c r="D489" s="51">
        <f t="shared" si="24"/>
        <v>56356998</v>
      </c>
      <c r="E489" s="36" t="s">
        <v>578</v>
      </c>
      <c r="F489" s="62"/>
      <c r="G489" s="59"/>
      <c r="H489" s="59"/>
      <c r="I489" s="59"/>
      <c r="J489" s="59"/>
      <c r="K489" s="59">
        <f t="shared" si="27"/>
        <v>-65000</v>
      </c>
      <c r="L489" s="2">
        <f t="shared" si="25"/>
        <v>0</v>
      </c>
      <c r="M489" s="2"/>
      <c r="N489" s="2"/>
      <c r="O489" s="2"/>
      <c r="P489" s="2"/>
      <c r="Q489" s="2"/>
      <c r="R489" s="3"/>
      <c r="S489" s="3"/>
      <c r="T489" s="2"/>
      <c r="U489" s="2"/>
      <c r="V489" s="4"/>
      <c r="W489" s="4"/>
    </row>
    <row r="490" spans="1:23" s="5" customFormat="1" ht="15" customHeight="1">
      <c r="A490" s="354"/>
      <c r="B490" s="72" t="s">
        <v>1286</v>
      </c>
      <c r="C490" s="93">
        <v>-65000</v>
      </c>
      <c r="D490" s="51">
        <f t="shared" si="24"/>
        <v>56291998</v>
      </c>
      <c r="E490" s="36" t="s">
        <v>578</v>
      </c>
      <c r="F490" s="62"/>
      <c r="G490" s="59"/>
      <c r="H490" s="59"/>
      <c r="I490" s="59"/>
      <c r="J490" s="59"/>
      <c r="K490" s="59">
        <f t="shared" si="27"/>
        <v>-65000</v>
      </c>
      <c r="L490" s="2">
        <f t="shared" si="25"/>
        <v>0</v>
      </c>
      <c r="M490" s="2"/>
      <c r="N490" s="2"/>
      <c r="O490" s="2"/>
      <c r="P490" s="2"/>
      <c r="Q490" s="2"/>
      <c r="R490" s="3"/>
      <c r="S490" s="3"/>
      <c r="T490" s="2"/>
      <c r="U490" s="2"/>
      <c r="V490" s="4"/>
      <c r="W490" s="4"/>
    </row>
    <row r="491" spans="1:23" s="5" customFormat="1" ht="15" customHeight="1">
      <c r="A491" s="353"/>
      <c r="B491" s="72" t="s">
        <v>591</v>
      </c>
      <c r="C491" s="93">
        <v>-1838500</v>
      </c>
      <c r="D491" s="51">
        <f t="shared" si="24"/>
        <v>54453498</v>
      </c>
      <c r="E491" s="36" t="s">
        <v>578</v>
      </c>
      <c r="F491" s="62"/>
      <c r="G491" s="59"/>
      <c r="H491" s="59"/>
      <c r="I491" s="59"/>
      <c r="J491" s="59"/>
      <c r="K491" s="59">
        <f t="shared" si="27"/>
        <v>-1838500</v>
      </c>
      <c r="L491" s="2">
        <f t="shared" si="25"/>
        <v>0</v>
      </c>
      <c r="M491" s="2"/>
      <c r="N491" s="2"/>
      <c r="O491" s="2"/>
      <c r="P491" s="2"/>
      <c r="Q491" s="2"/>
      <c r="R491" s="3"/>
      <c r="S491" s="3"/>
      <c r="T491" s="2"/>
      <c r="U491" s="2"/>
      <c r="V491" s="4"/>
      <c r="W491" s="4"/>
    </row>
    <row r="492" spans="1:23" s="5" customFormat="1" ht="15" customHeight="1">
      <c r="A492" s="353"/>
      <c r="B492" s="72" t="s">
        <v>1287</v>
      </c>
      <c r="C492" s="93"/>
      <c r="D492" s="51">
        <f t="shared" si="24"/>
        <v>54453498</v>
      </c>
      <c r="E492" s="36" t="s">
        <v>61</v>
      </c>
      <c r="F492" s="62"/>
      <c r="G492" s="59"/>
      <c r="H492" s="59"/>
      <c r="I492" s="59">
        <f>C492</f>
        <v>0</v>
      </c>
      <c r="J492" s="59"/>
      <c r="K492" s="59"/>
      <c r="L492" s="2">
        <f t="shared" si="25"/>
        <v>0</v>
      </c>
      <c r="M492" s="2"/>
      <c r="N492" s="2"/>
      <c r="O492" s="2"/>
      <c r="P492" s="2"/>
      <c r="Q492" s="2"/>
      <c r="R492" s="3"/>
      <c r="S492" s="3"/>
      <c r="T492" s="2"/>
      <c r="U492" s="2"/>
      <c r="V492" s="4"/>
      <c r="W492" s="4"/>
    </row>
    <row r="493" spans="1:23" s="5" customFormat="1" ht="15" customHeight="1">
      <c r="A493" s="6"/>
      <c r="B493" s="72" t="s">
        <v>971</v>
      </c>
      <c r="C493" s="93">
        <v>-642000</v>
      </c>
      <c r="D493" s="51">
        <f t="shared" si="24"/>
        <v>53811498</v>
      </c>
      <c r="E493" s="36" t="s">
        <v>578</v>
      </c>
      <c r="F493" s="62"/>
      <c r="G493" s="59"/>
      <c r="H493" s="59"/>
      <c r="I493" s="59"/>
      <c r="J493" s="59"/>
      <c r="K493" s="59">
        <f t="shared" si="27"/>
        <v>-642000</v>
      </c>
      <c r="L493" s="2">
        <f t="shared" si="25"/>
        <v>0</v>
      </c>
      <c r="M493" s="2"/>
      <c r="N493" s="2"/>
      <c r="O493" s="2"/>
      <c r="P493" s="2"/>
      <c r="Q493" s="2"/>
      <c r="R493" s="3"/>
      <c r="S493" s="3"/>
      <c r="T493" s="2"/>
      <c r="U493" s="2"/>
      <c r="V493" s="4"/>
      <c r="W493" s="4"/>
    </row>
    <row r="494" spans="1:23" s="5" customFormat="1" ht="15" customHeight="1">
      <c r="A494" s="353"/>
      <c r="B494" s="72" t="s">
        <v>1288</v>
      </c>
      <c r="C494" s="93">
        <v>-100000</v>
      </c>
      <c r="D494" s="51">
        <f t="shared" si="24"/>
        <v>53711498</v>
      </c>
      <c r="E494" s="36" t="s">
        <v>578</v>
      </c>
      <c r="F494" s="62"/>
      <c r="G494" s="59"/>
      <c r="H494" s="59"/>
      <c r="I494" s="59"/>
      <c r="J494" s="59"/>
      <c r="K494" s="59">
        <f t="shared" si="27"/>
        <v>-100000</v>
      </c>
      <c r="L494" s="2">
        <f t="shared" si="25"/>
        <v>0</v>
      </c>
      <c r="M494" s="2"/>
      <c r="N494" s="2"/>
      <c r="O494" s="2"/>
      <c r="P494" s="2"/>
      <c r="Q494" s="2"/>
      <c r="R494" s="3"/>
      <c r="S494" s="3"/>
      <c r="T494" s="2"/>
      <c r="U494" s="2"/>
      <c r="V494" s="4"/>
      <c r="W494" s="4"/>
    </row>
    <row r="495" spans="1:23" s="5" customFormat="1" ht="15" customHeight="1">
      <c r="A495" s="6"/>
      <c r="B495" s="72" t="s">
        <v>1289</v>
      </c>
      <c r="C495" s="93">
        <v>-262000</v>
      </c>
      <c r="D495" s="51">
        <f t="shared" si="24"/>
        <v>53449498</v>
      </c>
      <c r="E495" s="36" t="s">
        <v>578</v>
      </c>
      <c r="F495" s="62"/>
      <c r="G495" s="59"/>
      <c r="H495" s="59"/>
      <c r="I495" s="59"/>
      <c r="J495" s="59"/>
      <c r="K495" s="59">
        <f t="shared" si="27"/>
        <v>-262000</v>
      </c>
      <c r="L495" s="2">
        <f t="shared" si="25"/>
        <v>0</v>
      </c>
      <c r="M495" s="2"/>
      <c r="N495" s="2"/>
      <c r="O495" s="2"/>
      <c r="P495" s="2"/>
      <c r="Q495" s="2"/>
      <c r="R495" s="3"/>
      <c r="S495" s="3"/>
      <c r="T495" s="2"/>
      <c r="U495" s="2"/>
      <c r="V495" s="4"/>
      <c r="W495" s="4"/>
    </row>
    <row r="496" spans="1:23" s="5" customFormat="1" ht="15" customHeight="1">
      <c r="A496" s="354"/>
      <c r="B496" s="72" t="s">
        <v>1234</v>
      </c>
      <c r="C496" s="93">
        <v>-589000</v>
      </c>
      <c r="D496" s="51">
        <f t="shared" si="24"/>
        <v>52860498</v>
      </c>
      <c r="E496" s="36" t="s">
        <v>578</v>
      </c>
      <c r="F496" s="62"/>
      <c r="G496" s="59"/>
      <c r="H496" s="59"/>
      <c r="I496" s="59"/>
      <c r="J496" s="59"/>
      <c r="K496" s="59">
        <f t="shared" si="27"/>
        <v>-589000</v>
      </c>
      <c r="L496" s="2">
        <f t="shared" si="25"/>
        <v>0</v>
      </c>
      <c r="M496" s="2"/>
      <c r="N496" s="2"/>
      <c r="O496" s="2"/>
      <c r="P496" s="2"/>
      <c r="Q496" s="2"/>
      <c r="R496" s="3"/>
      <c r="S496" s="3"/>
      <c r="T496" s="2"/>
      <c r="U496" s="2"/>
      <c r="V496" s="4"/>
      <c r="W496" s="4"/>
    </row>
    <row r="497" spans="1:23" s="5" customFormat="1" ht="15" customHeight="1">
      <c r="A497" s="6"/>
      <c r="B497" s="72" t="s">
        <v>1290</v>
      </c>
      <c r="C497" s="93"/>
      <c r="D497" s="51">
        <f t="shared" si="24"/>
        <v>52860498</v>
      </c>
      <c r="E497" s="36" t="s">
        <v>61</v>
      </c>
      <c r="F497" s="62"/>
      <c r="G497" s="59"/>
      <c r="H497" s="59"/>
      <c r="I497" s="59">
        <f>C497</f>
        <v>0</v>
      </c>
      <c r="J497" s="59"/>
      <c r="K497" s="59">
        <f t="shared" si="27"/>
        <v>0</v>
      </c>
      <c r="L497" s="2">
        <f t="shared" si="25"/>
        <v>0</v>
      </c>
      <c r="M497" s="2"/>
      <c r="N497" s="2"/>
      <c r="O497" s="2"/>
      <c r="P497" s="2"/>
      <c r="Q497" s="2"/>
      <c r="R497" s="3"/>
      <c r="S497" s="3"/>
      <c r="T497" s="2"/>
      <c r="U497" s="2"/>
      <c r="V497" s="4"/>
      <c r="W497" s="4"/>
    </row>
    <row r="498" spans="1:23" s="5" customFormat="1" ht="15" customHeight="1">
      <c r="A498" s="6"/>
      <c r="B498" s="72" t="s">
        <v>1291</v>
      </c>
      <c r="C498" s="93">
        <v>-360000</v>
      </c>
      <c r="D498" s="51">
        <f t="shared" si="24"/>
        <v>52500498</v>
      </c>
      <c r="E498" s="36" t="s">
        <v>578</v>
      </c>
      <c r="F498" s="62"/>
      <c r="G498" s="59"/>
      <c r="H498" s="59"/>
      <c r="I498" s="59"/>
      <c r="J498" s="59"/>
      <c r="K498" s="59">
        <f t="shared" si="27"/>
        <v>-360000</v>
      </c>
      <c r="L498" s="2">
        <f t="shared" si="25"/>
        <v>0</v>
      </c>
      <c r="M498" s="2"/>
      <c r="N498" s="2"/>
      <c r="O498" s="2"/>
      <c r="P498" s="2"/>
      <c r="Q498" s="2"/>
      <c r="R498" s="3"/>
      <c r="S498" s="3"/>
      <c r="T498" s="2"/>
      <c r="U498" s="2"/>
      <c r="V498" s="4"/>
      <c r="W498" s="4"/>
    </row>
    <row r="499" spans="1:23" s="5" customFormat="1" ht="15" customHeight="1">
      <c r="A499" s="6"/>
      <c r="B499" s="72" t="s">
        <v>1292</v>
      </c>
      <c r="C499" s="93">
        <v>-1800000</v>
      </c>
      <c r="D499" s="51">
        <f t="shared" si="24"/>
        <v>50700498</v>
      </c>
      <c r="E499" s="36" t="s">
        <v>578</v>
      </c>
      <c r="F499" s="62"/>
      <c r="G499" s="59"/>
      <c r="H499" s="59"/>
      <c r="I499" s="59"/>
      <c r="J499" s="59"/>
      <c r="K499" s="59">
        <f t="shared" si="27"/>
        <v>-1800000</v>
      </c>
      <c r="L499" s="2">
        <f t="shared" si="25"/>
        <v>0</v>
      </c>
      <c r="M499" s="2"/>
      <c r="N499" s="2"/>
      <c r="O499" s="2"/>
      <c r="P499" s="2"/>
      <c r="Q499" s="2"/>
      <c r="R499" s="3"/>
      <c r="S499" s="3"/>
      <c r="T499" s="2"/>
      <c r="U499" s="2"/>
      <c r="V499" s="4"/>
      <c r="W499" s="4"/>
    </row>
    <row r="500" spans="1:23" s="5" customFormat="1" ht="15" customHeight="1">
      <c r="A500" s="354"/>
      <c r="B500" s="72" t="s">
        <v>1293</v>
      </c>
      <c r="C500" s="93">
        <v>-75000</v>
      </c>
      <c r="D500" s="51">
        <f t="shared" si="24"/>
        <v>50625498</v>
      </c>
      <c r="E500" s="36" t="s">
        <v>578</v>
      </c>
      <c r="F500" s="62"/>
      <c r="G500" s="59"/>
      <c r="H500" s="59"/>
      <c r="I500" s="59"/>
      <c r="J500" s="59"/>
      <c r="K500" s="59">
        <f t="shared" si="27"/>
        <v>-75000</v>
      </c>
      <c r="L500" s="2">
        <f t="shared" si="25"/>
        <v>0</v>
      </c>
      <c r="M500" s="2"/>
      <c r="N500" s="2"/>
      <c r="O500" s="2"/>
      <c r="P500" s="2"/>
      <c r="Q500" s="2"/>
      <c r="R500" s="3"/>
      <c r="S500" s="3"/>
      <c r="T500" s="2"/>
      <c r="U500" s="2"/>
      <c r="V500" s="4"/>
      <c r="W500" s="4"/>
    </row>
    <row r="501" spans="1:23" s="5" customFormat="1" ht="15" customHeight="1">
      <c r="A501" s="6"/>
      <c r="B501" s="72" t="s">
        <v>1233</v>
      </c>
      <c r="C501" s="93">
        <v>-545000</v>
      </c>
      <c r="D501" s="51">
        <f t="shared" si="24"/>
        <v>50080498</v>
      </c>
      <c r="E501" s="36" t="s">
        <v>578</v>
      </c>
      <c r="F501" s="62"/>
      <c r="G501" s="59"/>
      <c r="H501" s="59"/>
      <c r="I501" s="59"/>
      <c r="J501" s="59"/>
      <c r="K501" s="59">
        <f t="shared" si="27"/>
        <v>-545000</v>
      </c>
      <c r="L501" s="2">
        <f t="shared" si="25"/>
        <v>0</v>
      </c>
      <c r="M501" s="2"/>
      <c r="N501" s="2"/>
      <c r="O501" s="2"/>
      <c r="P501" s="2"/>
      <c r="Q501" s="2"/>
      <c r="R501" s="3"/>
      <c r="S501" s="3"/>
      <c r="T501" s="2"/>
      <c r="U501" s="2"/>
      <c r="V501" s="4"/>
      <c r="W501" s="4"/>
    </row>
    <row r="502" spans="1:23" s="5" customFormat="1" ht="15" customHeight="1">
      <c r="A502" s="353"/>
      <c r="B502" s="72" t="s">
        <v>18</v>
      </c>
      <c r="C502" s="93">
        <v>20000</v>
      </c>
      <c r="D502" s="51">
        <f t="shared" si="24"/>
        <v>50100498</v>
      </c>
      <c r="E502" s="36" t="s">
        <v>1</v>
      </c>
      <c r="F502" s="62"/>
      <c r="G502" s="59"/>
      <c r="H502" s="59">
        <f>C502</f>
        <v>20000</v>
      </c>
      <c r="I502" s="59"/>
      <c r="J502" s="59"/>
      <c r="K502" s="59"/>
      <c r="L502" s="2">
        <f t="shared" si="25"/>
        <v>0</v>
      </c>
      <c r="M502" s="2"/>
      <c r="N502" s="2"/>
      <c r="O502" s="2"/>
      <c r="P502" s="2"/>
      <c r="Q502" s="2"/>
      <c r="R502" s="3"/>
      <c r="S502" s="3"/>
      <c r="T502" s="2"/>
      <c r="U502" s="2"/>
      <c r="V502" s="4"/>
      <c r="W502" s="4"/>
    </row>
    <row r="503" spans="1:23" s="5" customFormat="1" ht="15" customHeight="1">
      <c r="A503" s="354">
        <v>45440</v>
      </c>
      <c r="B503" s="72" t="s">
        <v>577</v>
      </c>
      <c r="C503" s="93">
        <v>-11000</v>
      </c>
      <c r="D503" s="51">
        <f t="shared" si="24"/>
        <v>50089498</v>
      </c>
      <c r="E503" s="36" t="s">
        <v>578</v>
      </c>
      <c r="F503" s="62"/>
      <c r="G503" s="59"/>
      <c r="H503" s="59"/>
      <c r="I503" s="59"/>
      <c r="J503" s="59"/>
      <c r="K503" s="59">
        <f t="shared" si="27"/>
        <v>-11000</v>
      </c>
      <c r="L503" s="2">
        <f t="shared" si="25"/>
        <v>0</v>
      </c>
      <c r="M503" s="2"/>
      <c r="N503" s="2"/>
      <c r="O503" s="2"/>
      <c r="P503" s="2"/>
      <c r="Q503" s="2"/>
      <c r="R503" s="3"/>
      <c r="S503" s="3"/>
      <c r="T503" s="2"/>
      <c r="U503" s="2"/>
      <c r="V503" s="4"/>
      <c r="W503" s="4"/>
    </row>
    <row r="504" spans="1:23" s="5" customFormat="1" ht="15" customHeight="1">
      <c r="A504" s="353"/>
      <c r="B504" s="72" t="s">
        <v>1294</v>
      </c>
      <c r="C504" s="93">
        <v>-10000</v>
      </c>
      <c r="D504" s="51">
        <f t="shared" si="24"/>
        <v>50079498</v>
      </c>
      <c r="E504" s="36" t="s">
        <v>578</v>
      </c>
      <c r="F504" s="62"/>
      <c r="G504" s="59"/>
      <c r="H504" s="59"/>
      <c r="I504" s="59"/>
      <c r="J504" s="59"/>
      <c r="K504" s="59">
        <f t="shared" si="27"/>
        <v>-10000</v>
      </c>
      <c r="L504" s="2">
        <f t="shared" si="25"/>
        <v>0</v>
      </c>
      <c r="M504" s="2"/>
      <c r="N504" s="2"/>
      <c r="O504" s="2"/>
      <c r="P504" s="2"/>
      <c r="Q504" s="2"/>
      <c r="R504" s="3"/>
      <c r="S504" s="3"/>
      <c r="T504" s="2"/>
      <c r="U504" s="2"/>
      <c r="V504" s="4"/>
      <c r="W504" s="4"/>
    </row>
    <row r="505" spans="1:23" s="5" customFormat="1" ht="15" customHeight="1">
      <c r="A505" s="6"/>
      <c r="B505" s="72" t="s">
        <v>1295</v>
      </c>
      <c r="C505" s="93">
        <v>-1000000</v>
      </c>
      <c r="D505" s="51">
        <f t="shared" si="24"/>
        <v>49079498</v>
      </c>
      <c r="E505" s="36" t="s">
        <v>578</v>
      </c>
      <c r="F505" s="62"/>
      <c r="G505" s="59"/>
      <c r="H505" s="59"/>
      <c r="I505" s="59"/>
      <c r="J505" s="59"/>
      <c r="K505" s="59">
        <f t="shared" si="27"/>
        <v>-1000000</v>
      </c>
      <c r="L505" s="2">
        <f t="shared" si="25"/>
        <v>0</v>
      </c>
      <c r="M505" s="2"/>
      <c r="N505" s="2"/>
      <c r="O505" s="2"/>
      <c r="P505" s="2"/>
      <c r="Q505" s="2"/>
      <c r="R505" s="3"/>
      <c r="S505" s="3"/>
      <c r="T505" s="2"/>
      <c r="U505" s="2"/>
      <c r="V505" s="4"/>
      <c r="W505" s="4"/>
    </row>
    <row r="506" spans="1:23" s="5" customFormat="1" ht="15" customHeight="1">
      <c r="A506" s="353"/>
      <c r="B506" s="72" t="s">
        <v>1296</v>
      </c>
      <c r="C506" s="93">
        <v>-65000</v>
      </c>
      <c r="D506" s="51">
        <f t="shared" si="24"/>
        <v>49014498</v>
      </c>
      <c r="E506" s="36" t="s">
        <v>578</v>
      </c>
      <c r="F506" s="62"/>
      <c r="G506" s="59"/>
      <c r="H506" s="59"/>
      <c r="I506" s="59"/>
      <c r="J506" s="59"/>
      <c r="K506" s="59">
        <f t="shared" si="27"/>
        <v>-65000</v>
      </c>
      <c r="L506" s="2">
        <f t="shared" si="25"/>
        <v>0</v>
      </c>
      <c r="M506" s="2"/>
      <c r="N506" s="2"/>
      <c r="O506" s="2"/>
      <c r="P506" s="2"/>
      <c r="Q506" s="2"/>
      <c r="R506" s="3"/>
      <c r="S506" s="3"/>
      <c r="T506" s="2"/>
      <c r="U506" s="2"/>
      <c r="V506" s="4"/>
      <c r="W506" s="4"/>
    </row>
    <row r="507" spans="1:23" s="5" customFormat="1" ht="15" customHeight="1">
      <c r="A507" s="354"/>
      <c r="B507" s="72" t="s">
        <v>591</v>
      </c>
      <c r="C507" s="93">
        <v>-2919500</v>
      </c>
      <c r="D507" s="51">
        <f t="shared" si="24"/>
        <v>46094998</v>
      </c>
      <c r="E507" s="36" t="s">
        <v>578</v>
      </c>
      <c r="F507" s="62"/>
      <c r="G507" s="59"/>
      <c r="H507" s="59"/>
      <c r="I507" s="59"/>
      <c r="J507" s="59"/>
      <c r="K507" s="59">
        <f t="shared" si="27"/>
        <v>-2919500</v>
      </c>
      <c r="L507" s="2">
        <f t="shared" si="25"/>
        <v>0</v>
      </c>
      <c r="M507" s="2"/>
      <c r="N507" s="2"/>
      <c r="O507" s="2"/>
      <c r="P507" s="2"/>
      <c r="Q507" s="2"/>
      <c r="R507" s="3"/>
      <c r="S507" s="3"/>
      <c r="T507" s="2"/>
      <c r="U507" s="2"/>
      <c r="V507" s="4"/>
      <c r="W507" s="4"/>
    </row>
    <row r="508" spans="1:23" s="5" customFormat="1" ht="15" customHeight="1">
      <c r="A508" s="353"/>
      <c r="B508" s="72" t="s">
        <v>1297</v>
      </c>
      <c r="C508" s="93">
        <v>-418000</v>
      </c>
      <c r="D508" s="51">
        <f t="shared" si="24"/>
        <v>45676998</v>
      </c>
      <c r="E508" s="36" t="s">
        <v>578</v>
      </c>
      <c r="F508" s="62"/>
      <c r="G508" s="59"/>
      <c r="H508" s="59"/>
      <c r="I508" s="59"/>
      <c r="J508" s="59"/>
      <c r="K508" s="59">
        <f t="shared" si="27"/>
        <v>-418000</v>
      </c>
      <c r="L508" s="2">
        <f t="shared" si="25"/>
        <v>0</v>
      </c>
      <c r="M508" s="2"/>
      <c r="N508" s="2"/>
      <c r="O508" s="2"/>
      <c r="P508" s="2"/>
      <c r="Q508" s="2"/>
      <c r="R508" s="3"/>
      <c r="S508" s="3"/>
      <c r="T508" s="2"/>
      <c r="U508" s="2"/>
      <c r="V508" s="4"/>
      <c r="W508" s="4"/>
    </row>
    <row r="509" spans="1:23" s="5" customFormat="1" ht="15" customHeight="1">
      <c r="A509" s="353"/>
      <c r="B509" s="72" t="s">
        <v>1241</v>
      </c>
      <c r="C509" s="93">
        <v>-717500</v>
      </c>
      <c r="D509" s="51">
        <f t="shared" si="24"/>
        <v>44959498</v>
      </c>
      <c r="E509" s="36" t="s">
        <v>578</v>
      </c>
      <c r="F509" s="62"/>
      <c r="G509" s="59"/>
      <c r="H509" s="59"/>
      <c r="I509" s="59"/>
      <c r="J509" s="59"/>
      <c r="K509" s="59">
        <f t="shared" si="27"/>
        <v>-717500</v>
      </c>
      <c r="L509" s="2">
        <f t="shared" si="25"/>
        <v>0</v>
      </c>
      <c r="M509" s="2"/>
      <c r="N509" s="2"/>
      <c r="O509" s="2"/>
      <c r="P509" s="2"/>
      <c r="Q509" s="2"/>
      <c r="R509" s="3"/>
      <c r="S509" s="3"/>
      <c r="T509" s="2"/>
      <c r="U509" s="2"/>
      <c r="V509" s="4"/>
      <c r="W509" s="4"/>
    </row>
    <row r="510" spans="1:23" s="5" customFormat="1" ht="15" customHeight="1">
      <c r="A510" s="6"/>
      <c r="B510" s="72" t="s">
        <v>589</v>
      </c>
      <c r="C510" s="93">
        <v>-190500</v>
      </c>
      <c r="D510" s="51">
        <f t="shared" si="24"/>
        <v>44768998</v>
      </c>
      <c r="E510" s="36" t="s">
        <v>578</v>
      </c>
      <c r="F510" s="62"/>
      <c r="G510" s="59"/>
      <c r="H510" s="59"/>
      <c r="I510" s="59"/>
      <c r="J510" s="59"/>
      <c r="K510" s="59">
        <f t="shared" si="27"/>
        <v>-190500</v>
      </c>
      <c r="L510" s="2">
        <f t="shared" si="25"/>
        <v>0</v>
      </c>
      <c r="M510" s="2"/>
      <c r="N510" s="2"/>
      <c r="O510" s="2"/>
      <c r="P510" s="2"/>
      <c r="Q510" s="2"/>
      <c r="R510" s="3"/>
      <c r="S510" s="3"/>
      <c r="T510" s="2"/>
      <c r="U510" s="2"/>
      <c r="V510" s="4"/>
      <c r="W510" s="4"/>
    </row>
    <row r="511" spans="1:23" s="5" customFormat="1" ht="15" customHeight="1">
      <c r="A511" s="6"/>
      <c r="B511" s="72" t="s">
        <v>1298</v>
      </c>
      <c r="C511" s="93">
        <v>90000000</v>
      </c>
      <c r="D511" s="51">
        <f t="shared" si="24"/>
        <v>134768998</v>
      </c>
      <c r="E511" s="36" t="s">
        <v>583</v>
      </c>
      <c r="F511" s="62"/>
      <c r="G511" s="59"/>
      <c r="H511" s="59"/>
      <c r="I511" s="59"/>
      <c r="J511" s="59">
        <f>C511</f>
        <v>90000000</v>
      </c>
      <c r="K511" s="59"/>
      <c r="L511" s="2">
        <f t="shared" si="25"/>
        <v>0</v>
      </c>
      <c r="M511" s="2"/>
      <c r="N511" s="2"/>
      <c r="O511" s="2"/>
      <c r="P511" s="2"/>
      <c r="Q511" s="2"/>
      <c r="R511" s="3"/>
      <c r="S511" s="3"/>
      <c r="T511" s="2"/>
      <c r="U511" s="2"/>
      <c r="V511" s="4"/>
      <c r="W511" s="4"/>
    </row>
    <row r="512" spans="1:23" s="5" customFormat="1" ht="15" customHeight="1">
      <c r="A512" s="353"/>
      <c r="B512" s="72" t="s">
        <v>1299</v>
      </c>
      <c r="C512" s="93">
        <v>-86007362</v>
      </c>
      <c r="D512" s="51">
        <f t="shared" si="24"/>
        <v>48761636</v>
      </c>
      <c r="E512" s="36" t="s">
        <v>578</v>
      </c>
      <c r="F512" s="62"/>
      <c r="G512" s="59"/>
      <c r="H512" s="59"/>
      <c r="I512" s="59"/>
      <c r="J512" s="59"/>
      <c r="K512" s="59">
        <f t="shared" si="27"/>
        <v>-86007362</v>
      </c>
      <c r="L512" s="2">
        <f t="shared" si="25"/>
        <v>0</v>
      </c>
      <c r="M512" s="2"/>
      <c r="N512" s="2"/>
      <c r="O512" s="2"/>
      <c r="P512" s="2"/>
      <c r="Q512" s="2"/>
      <c r="R512" s="3"/>
      <c r="S512" s="3"/>
      <c r="T512" s="2"/>
      <c r="U512" s="2"/>
      <c r="V512" s="4"/>
      <c r="W512" s="4"/>
    </row>
    <row r="513" spans="1:23" s="5" customFormat="1" ht="15" customHeight="1">
      <c r="A513" s="6"/>
      <c r="B513" s="72" t="s">
        <v>605</v>
      </c>
      <c r="C513" s="93">
        <v>-340000</v>
      </c>
      <c r="D513" s="51">
        <f t="shared" si="24"/>
        <v>48421636</v>
      </c>
      <c r="E513" s="36" t="s">
        <v>578</v>
      </c>
      <c r="F513" s="62"/>
      <c r="G513" s="59"/>
      <c r="H513" s="59"/>
      <c r="I513" s="59"/>
      <c r="J513" s="59"/>
      <c r="K513" s="59">
        <f t="shared" si="27"/>
        <v>-340000</v>
      </c>
      <c r="L513" s="2">
        <f t="shared" si="25"/>
        <v>0</v>
      </c>
      <c r="M513" s="2"/>
      <c r="N513" s="2"/>
      <c r="O513" s="2"/>
      <c r="P513" s="2"/>
      <c r="Q513" s="2"/>
      <c r="R513" s="3"/>
      <c r="S513" s="3"/>
      <c r="T513" s="2"/>
      <c r="U513" s="2"/>
      <c r="V513" s="4"/>
      <c r="W513" s="4"/>
    </row>
    <row r="514" spans="1:23" s="5" customFormat="1" ht="15" customHeight="1">
      <c r="A514" s="354"/>
      <c r="B514" s="72" t="s">
        <v>582</v>
      </c>
      <c r="C514" s="93">
        <v>-292950</v>
      </c>
      <c r="D514" s="51">
        <f t="shared" ref="D514:D588" si="28">SUM(D513,C514)</f>
        <v>48128686</v>
      </c>
      <c r="E514" s="36" t="s">
        <v>578</v>
      </c>
      <c r="F514" s="62"/>
      <c r="G514" s="59"/>
      <c r="H514" s="59"/>
      <c r="I514" s="59"/>
      <c r="J514" s="59"/>
      <c r="K514" s="59">
        <f t="shared" si="27"/>
        <v>-292950</v>
      </c>
      <c r="L514" s="2">
        <f t="shared" si="25"/>
        <v>0</v>
      </c>
      <c r="M514" s="2"/>
      <c r="N514" s="2"/>
      <c r="O514" s="2"/>
      <c r="P514" s="2"/>
      <c r="Q514" s="2"/>
      <c r="R514" s="3"/>
      <c r="S514" s="3"/>
      <c r="T514" s="2"/>
      <c r="U514" s="2"/>
      <c r="V514" s="4"/>
      <c r="W514" s="4"/>
    </row>
    <row r="515" spans="1:23" s="5" customFormat="1" ht="15" customHeight="1">
      <c r="A515" s="353"/>
      <c r="B515" s="72" t="s">
        <v>1241</v>
      </c>
      <c r="C515" s="93">
        <v>-450000</v>
      </c>
      <c r="D515" s="51">
        <f t="shared" si="28"/>
        <v>47678686</v>
      </c>
      <c r="E515" s="36" t="s">
        <v>578</v>
      </c>
      <c r="F515" s="62"/>
      <c r="G515" s="59"/>
      <c r="H515" s="59"/>
      <c r="I515" s="59"/>
      <c r="J515" s="59"/>
      <c r="K515" s="59">
        <f t="shared" si="27"/>
        <v>-450000</v>
      </c>
      <c r="L515" s="2">
        <f t="shared" ref="L515:L578" si="29">C515-F515-G515-H515-I515-J515-K515</f>
        <v>0</v>
      </c>
      <c r="M515" s="2"/>
      <c r="N515" s="2"/>
      <c r="O515" s="2"/>
      <c r="P515" s="2"/>
      <c r="Q515" s="2"/>
      <c r="R515" s="3"/>
      <c r="S515" s="3"/>
      <c r="T515" s="2"/>
      <c r="U515" s="2"/>
      <c r="V515" s="4"/>
      <c r="W515" s="4"/>
    </row>
    <row r="516" spans="1:23" s="5" customFormat="1" ht="15" customHeight="1">
      <c r="B516" s="72" t="s">
        <v>588</v>
      </c>
      <c r="C516" s="93">
        <v>-100000</v>
      </c>
      <c r="D516" s="51">
        <f t="shared" si="28"/>
        <v>47578686</v>
      </c>
      <c r="E516" s="36" t="s">
        <v>578</v>
      </c>
      <c r="F516" s="62"/>
      <c r="G516" s="59"/>
      <c r="H516" s="59"/>
      <c r="I516" s="59"/>
      <c r="J516" s="59"/>
      <c r="K516" s="59">
        <f t="shared" si="27"/>
        <v>-100000</v>
      </c>
      <c r="L516" s="2">
        <f t="shared" si="29"/>
        <v>0</v>
      </c>
      <c r="M516" s="2"/>
      <c r="N516" s="2"/>
      <c r="O516" s="2"/>
      <c r="P516" s="2"/>
      <c r="Q516" s="2"/>
      <c r="R516" s="3"/>
      <c r="S516" s="3"/>
      <c r="T516" s="2"/>
      <c r="U516" s="2"/>
      <c r="V516" s="4"/>
      <c r="W516" s="4"/>
    </row>
    <row r="517" spans="1:23" s="5" customFormat="1" ht="15" customHeight="1">
      <c r="A517" s="353"/>
      <c r="B517" s="72" t="s">
        <v>1241</v>
      </c>
      <c r="C517" s="93">
        <v>-2845000</v>
      </c>
      <c r="D517" s="51">
        <f t="shared" si="28"/>
        <v>44733686</v>
      </c>
      <c r="E517" s="36" t="s">
        <v>578</v>
      </c>
      <c r="F517" s="62"/>
      <c r="G517" s="59"/>
      <c r="H517" s="59"/>
      <c r="I517" s="59"/>
      <c r="J517" s="59"/>
      <c r="K517" s="59">
        <f t="shared" si="27"/>
        <v>-2845000</v>
      </c>
      <c r="L517" s="2">
        <f t="shared" si="29"/>
        <v>0</v>
      </c>
      <c r="M517" s="2"/>
      <c r="N517" s="2"/>
      <c r="O517" s="2"/>
      <c r="P517" s="2"/>
      <c r="Q517" s="2"/>
      <c r="R517" s="3"/>
      <c r="S517" s="3"/>
      <c r="T517" s="2"/>
      <c r="U517" s="2"/>
      <c r="V517" s="4"/>
      <c r="W517" s="4"/>
    </row>
    <row r="518" spans="1:23" s="5" customFormat="1" ht="15" customHeight="1">
      <c r="A518" s="354"/>
      <c r="B518" s="72" t="s">
        <v>18</v>
      </c>
      <c r="C518" s="93">
        <v>60000</v>
      </c>
      <c r="D518" s="51">
        <f t="shared" si="28"/>
        <v>44793686</v>
      </c>
      <c r="E518" s="36" t="s">
        <v>1</v>
      </c>
      <c r="F518" s="62"/>
      <c r="G518" s="59"/>
      <c r="H518" s="59">
        <f>C518</f>
        <v>60000</v>
      </c>
      <c r="I518" s="59"/>
      <c r="J518" s="59"/>
      <c r="K518" s="59"/>
      <c r="L518" s="2">
        <f t="shared" si="29"/>
        <v>0</v>
      </c>
      <c r="M518" s="2"/>
      <c r="N518" s="2"/>
      <c r="O518" s="2"/>
      <c r="P518" s="2"/>
      <c r="Q518" s="2"/>
      <c r="R518" s="3"/>
      <c r="S518" s="3"/>
      <c r="T518" s="2"/>
      <c r="U518" s="2"/>
      <c r="V518" s="4"/>
      <c r="W518" s="4"/>
    </row>
    <row r="519" spans="1:23" s="5" customFormat="1" ht="15" customHeight="1">
      <c r="A519" s="354"/>
      <c r="B519" s="72" t="s">
        <v>1300</v>
      </c>
      <c r="C519" s="93">
        <v>-65000</v>
      </c>
      <c r="D519" s="51">
        <f t="shared" si="28"/>
        <v>44728686</v>
      </c>
      <c r="E519" s="36" t="s">
        <v>578</v>
      </c>
      <c r="F519" s="62"/>
      <c r="G519" s="59"/>
      <c r="H519" s="59"/>
      <c r="I519" s="59"/>
      <c r="J519" s="59"/>
      <c r="K519" s="59">
        <f t="shared" si="27"/>
        <v>-65000</v>
      </c>
      <c r="L519" s="2">
        <f t="shared" si="29"/>
        <v>0</v>
      </c>
      <c r="M519" s="2"/>
      <c r="N519" s="2"/>
      <c r="O519" s="2"/>
      <c r="P519" s="2"/>
      <c r="Q519" s="2"/>
      <c r="R519" s="3"/>
      <c r="S519" s="3"/>
      <c r="T519" s="2"/>
      <c r="U519" s="2"/>
      <c r="V519" s="4"/>
      <c r="W519" s="4"/>
    </row>
    <row r="520" spans="1:23" s="5" customFormat="1" ht="15" customHeight="1">
      <c r="B520" s="457" t="s">
        <v>1301</v>
      </c>
      <c r="C520" s="93">
        <v>6991000</v>
      </c>
      <c r="D520" s="51">
        <f t="shared" si="28"/>
        <v>51719686</v>
      </c>
      <c r="E520" s="36" t="s">
        <v>585</v>
      </c>
      <c r="F520" s="62">
        <f>C520</f>
        <v>6991000</v>
      </c>
      <c r="G520" s="59"/>
      <c r="H520" s="59"/>
      <c r="I520" s="59"/>
      <c r="J520" s="59"/>
      <c r="K520" s="59"/>
      <c r="L520" s="2">
        <f t="shared" si="29"/>
        <v>0</v>
      </c>
      <c r="M520" s="2"/>
      <c r="N520" s="2"/>
      <c r="O520" s="2"/>
      <c r="P520" s="2"/>
      <c r="Q520" s="2"/>
      <c r="R520" s="3"/>
      <c r="S520" s="3"/>
      <c r="T520" s="2"/>
      <c r="U520" s="2"/>
      <c r="V520" s="4"/>
      <c r="W520" s="4"/>
    </row>
    <row r="521" spans="1:23" s="5" customFormat="1" ht="15" customHeight="1">
      <c r="A521" s="353">
        <v>45441</v>
      </c>
      <c r="B521" s="72" t="s">
        <v>577</v>
      </c>
      <c r="C521" s="93">
        <v>-11000</v>
      </c>
      <c r="D521" s="51">
        <f t="shared" si="28"/>
        <v>51708686</v>
      </c>
      <c r="E521" s="36" t="s">
        <v>578</v>
      </c>
      <c r="F521" s="62"/>
      <c r="G521" s="59"/>
      <c r="H521" s="59"/>
      <c r="I521" s="59"/>
      <c r="J521" s="59"/>
      <c r="K521" s="59">
        <f t="shared" si="27"/>
        <v>-11000</v>
      </c>
      <c r="L521" s="2">
        <f t="shared" si="29"/>
        <v>0</v>
      </c>
      <c r="M521" s="2"/>
      <c r="N521" s="2"/>
      <c r="O521" s="2"/>
      <c r="P521" s="2"/>
      <c r="Q521" s="2"/>
      <c r="R521" s="3"/>
      <c r="S521" s="3"/>
      <c r="T521" s="2"/>
      <c r="U521" s="2"/>
      <c r="V521" s="4"/>
      <c r="W521" s="4"/>
    </row>
    <row r="522" spans="1:23" s="5" customFormat="1" ht="15" customHeight="1">
      <c r="B522" s="72" t="s">
        <v>1302</v>
      </c>
      <c r="C522" s="59">
        <v>-65000</v>
      </c>
      <c r="D522" s="51">
        <f t="shared" si="28"/>
        <v>51643686</v>
      </c>
      <c r="E522" s="36" t="s">
        <v>578</v>
      </c>
      <c r="F522" s="62"/>
      <c r="G522" s="59"/>
      <c r="H522" s="59"/>
      <c r="I522" s="59"/>
      <c r="J522" s="59"/>
      <c r="K522" s="59">
        <f t="shared" si="27"/>
        <v>-65000</v>
      </c>
      <c r="L522" s="2">
        <f t="shared" si="29"/>
        <v>0</v>
      </c>
      <c r="M522" s="2"/>
      <c r="N522" s="2"/>
      <c r="O522" s="2"/>
      <c r="P522" s="2"/>
      <c r="Q522" s="2"/>
      <c r="R522" s="3"/>
      <c r="S522" s="3"/>
      <c r="T522" s="2"/>
      <c r="U522" s="2"/>
      <c r="V522" s="4"/>
      <c r="W522" s="4"/>
    </row>
    <row r="523" spans="1:23" s="5" customFormat="1" ht="15" customHeight="1">
      <c r="A523" s="6"/>
      <c r="B523" s="72" t="s">
        <v>1303</v>
      </c>
      <c r="C523" s="59">
        <v>13130000</v>
      </c>
      <c r="D523" s="51">
        <f t="shared" si="28"/>
        <v>64773686</v>
      </c>
      <c r="E523" s="36" t="s">
        <v>585</v>
      </c>
      <c r="F523" s="62">
        <f>C523</f>
        <v>13130000</v>
      </c>
      <c r="G523" s="59"/>
      <c r="H523" s="59"/>
      <c r="I523" s="59"/>
      <c r="J523" s="59"/>
      <c r="K523" s="59"/>
      <c r="L523" s="2">
        <f t="shared" si="29"/>
        <v>0</v>
      </c>
      <c r="M523" s="2"/>
      <c r="N523" s="2"/>
      <c r="O523" s="2"/>
      <c r="P523" s="2"/>
      <c r="Q523" s="2"/>
      <c r="R523" s="3"/>
      <c r="S523" s="3"/>
      <c r="T523" s="2"/>
      <c r="U523" s="2"/>
      <c r="V523" s="4"/>
      <c r="W523" s="4"/>
    </row>
    <row r="524" spans="1:23" s="5" customFormat="1" ht="15" customHeight="1">
      <c r="A524" s="149"/>
      <c r="B524" s="72" t="s">
        <v>591</v>
      </c>
      <c r="C524" s="59">
        <v>-1307500</v>
      </c>
      <c r="D524" s="51">
        <f t="shared" si="28"/>
        <v>63466186</v>
      </c>
      <c r="E524" s="36" t="s">
        <v>578</v>
      </c>
      <c r="F524" s="62"/>
      <c r="G524" s="59"/>
      <c r="H524" s="59"/>
      <c r="I524" s="59"/>
      <c r="J524" s="59"/>
      <c r="K524" s="59">
        <f t="shared" si="27"/>
        <v>-1307500</v>
      </c>
      <c r="L524" s="2">
        <f t="shared" si="29"/>
        <v>0</v>
      </c>
      <c r="M524" s="2"/>
      <c r="N524" s="2"/>
      <c r="O524" s="2"/>
      <c r="P524" s="2"/>
      <c r="Q524" s="2"/>
      <c r="R524" s="3"/>
      <c r="S524" s="3"/>
      <c r="T524" s="2"/>
      <c r="U524" s="2"/>
      <c r="V524" s="4"/>
      <c r="W524" s="4"/>
    </row>
    <row r="525" spans="1:23" s="5" customFormat="1" ht="15" customHeight="1">
      <c r="A525" s="353"/>
      <c r="B525" s="72" t="s">
        <v>1304</v>
      </c>
      <c r="C525" s="59">
        <v>-260000</v>
      </c>
      <c r="D525" s="51">
        <f t="shared" si="28"/>
        <v>63206186</v>
      </c>
      <c r="E525" s="36" t="s">
        <v>578</v>
      </c>
      <c r="F525" s="62"/>
      <c r="G525" s="59"/>
      <c r="H525" s="59"/>
      <c r="I525" s="59"/>
      <c r="J525" s="59"/>
      <c r="K525" s="59">
        <f t="shared" si="27"/>
        <v>-260000</v>
      </c>
      <c r="L525" s="2">
        <f t="shared" si="29"/>
        <v>0</v>
      </c>
      <c r="M525" s="2"/>
      <c r="N525" s="2"/>
      <c r="O525" s="2"/>
      <c r="P525" s="2"/>
      <c r="Q525" s="2"/>
      <c r="R525" s="3"/>
      <c r="S525" s="3"/>
      <c r="T525" s="2"/>
      <c r="U525" s="2"/>
      <c r="V525" s="4"/>
      <c r="W525" s="4"/>
    </row>
    <row r="526" spans="1:23" s="5" customFormat="1" ht="15" customHeight="1">
      <c r="B526" s="72" t="s">
        <v>1305</v>
      </c>
      <c r="C526" s="59">
        <v>2000000</v>
      </c>
      <c r="D526" s="51">
        <f t="shared" si="28"/>
        <v>65206186</v>
      </c>
      <c r="E526" s="36" t="s">
        <v>61</v>
      </c>
      <c r="F526" s="62"/>
      <c r="G526" s="59"/>
      <c r="H526" s="59"/>
      <c r="I526" s="59">
        <f>C526</f>
        <v>2000000</v>
      </c>
      <c r="J526" s="59"/>
      <c r="K526" s="59"/>
      <c r="L526" s="2">
        <f t="shared" si="29"/>
        <v>0</v>
      </c>
      <c r="M526" s="2"/>
      <c r="N526" s="2"/>
      <c r="O526" s="2"/>
      <c r="P526" s="2"/>
      <c r="Q526" s="2"/>
      <c r="R526" s="3"/>
      <c r="S526" s="3"/>
      <c r="T526" s="2"/>
      <c r="U526" s="2"/>
      <c r="V526" s="4"/>
      <c r="W526" s="4"/>
    </row>
    <row r="527" spans="1:23" s="5" customFormat="1" ht="15" customHeight="1">
      <c r="A527" s="6"/>
      <c r="B527" s="72" t="s">
        <v>1031</v>
      </c>
      <c r="C527" s="59">
        <v>-1309000</v>
      </c>
      <c r="D527" s="51">
        <f t="shared" si="28"/>
        <v>63897186</v>
      </c>
      <c r="E527" s="36" t="s">
        <v>578</v>
      </c>
      <c r="F527" s="62"/>
      <c r="G527" s="59"/>
      <c r="H527" s="59"/>
      <c r="I527" s="59"/>
      <c r="J527" s="59"/>
      <c r="K527" s="59">
        <f t="shared" si="27"/>
        <v>-1309000</v>
      </c>
      <c r="L527" s="2">
        <f t="shared" si="29"/>
        <v>0</v>
      </c>
      <c r="M527" s="2"/>
      <c r="N527" s="2"/>
      <c r="O527" s="2"/>
      <c r="P527" s="2"/>
      <c r="Q527" s="2"/>
      <c r="R527" s="3"/>
      <c r="S527" s="3"/>
      <c r="T527" s="2"/>
      <c r="U527" s="2"/>
      <c r="V527" s="4"/>
      <c r="W527" s="4"/>
    </row>
    <row r="528" spans="1:23" s="5" customFormat="1" ht="15" customHeight="1">
      <c r="A528" s="86"/>
      <c r="B528" s="72" t="s">
        <v>592</v>
      </c>
      <c r="C528" s="59">
        <v>-20000</v>
      </c>
      <c r="D528" s="51">
        <f t="shared" si="28"/>
        <v>63877186</v>
      </c>
      <c r="E528" s="36" t="s">
        <v>578</v>
      </c>
      <c r="F528" s="62"/>
      <c r="G528" s="59"/>
      <c r="H528" s="59"/>
      <c r="I528" s="59"/>
      <c r="J528" s="59"/>
      <c r="K528" s="59">
        <f t="shared" si="27"/>
        <v>-20000</v>
      </c>
      <c r="L528" s="2">
        <f t="shared" si="29"/>
        <v>0</v>
      </c>
      <c r="M528" s="2"/>
      <c r="N528" s="2"/>
      <c r="O528" s="2"/>
      <c r="P528" s="2"/>
      <c r="Q528" s="2"/>
      <c r="R528" s="3"/>
      <c r="S528" s="3"/>
      <c r="T528" s="2"/>
      <c r="U528" s="2"/>
      <c r="V528" s="4"/>
      <c r="W528" s="4"/>
    </row>
    <row r="529" spans="1:23" s="5" customFormat="1" ht="15" customHeight="1">
      <c r="A529" s="353"/>
      <c r="B529" s="72" t="s">
        <v>1306</v>
      </c>
      <c r="C529" s="59">
        <v>-125700</v>
      </c>
      <c r="D529" s="51">
        <f t="shared" si="28"/>
        <v>63751486</v>
      </c>
      <c r="E529" s="36" t="s">
        <v>578</v>
      </c>
      <c r="F529" s="62"/>
      <c r="G529" s="59"/>
      <c r="H529" s="59"/>
      <c r="I529" s="59"/>
      <c r="J529" s="59"/>
      <c r="K529" s="59">
        <f t="shared" si="27"/>
        <v>-125700</v>
      </c>
      <c r="L529" s="2">
        <f t="shared" si="29"/>
        <v>0</v>
      </c>
      <c r="M529" s="2"/>
      <c r="N529" s="2"/>
      <c r="O529" s="2"/>
      <c r="P529" s="2"/>
      <c r="Q529" s="2"/>
      <c r="R529" s="3"/>
      <c r="S529" s="3"/>
      <c r="T529" s="2"/>
      <c r="U529" s="2"/>
      <c r="V529" s="4"/>
      <c r="W529" s="4"/>
    </row>
    <row r="530" spans="1:23" s="5" customFormat="1" ht="15" customHeight="1">
      <c r="B530" s="72" t="s">
        <v>1307</v>
      </c>
      <c r="C530" s="59">
        <v>-239100</v>
      </c>
      <c r="D530" s="51">
        <f t="shared" si="28"/>
        <v>63512386</v>
      </c>
      <c r="E530" s="36" t="s">
        <v>578</v>
      </c>
      <c r="F530" s="62"/>
      <c r="G530" s="59"/>
      <c r="H530" s="59"/>
      <c r="I530" s="59"/>
      <c r="J530" s="59"/>
      <c r="K530" s="59">
        <f t="shared" si="27"/>
        <v>-239100</v>
      </c>
      <c r="L530" s="2">
        <f t="shared" si="29"/>
        <v>0</v>
      </c>
      <c r="M530" s="2"/>
      <c r="N530" s="2"/>
      <c r="O530" s="2"/>
      <c r="P530" s="2"/>
      <c r="Q530" s="2"/>
      <c r="R530" s="3"/>
      <c r="S530" s="3"/>
      <c r="T530" s="2"/>
      <c r="U530" s="2"/>
      <c r="V530" s="4"/>
      <c r="W530" s="4"/>
    </row>
    <row r="531" spans="1:23" s="5" customFormat="1" ht="15" customHeight="1">
      <c r="A531" s="88"/>
      <c r="B531" s="72" t="s">
        <v>591</v>
      </c>
      <c r="C531" s="59">
        <v>-58000</v>
      </c>
      <c r="D531" s="51">
        <f t="shared" si="28"/>
        <v>63454386</v>
      </c>
      <c r="E531" s="36" t="s">
        <v>578</v>
      </c>
      <c r="F531" s="62"/>
      <c r="G531" s="59"/>
      <c r="H531" s="59"/>
      <c r="I531" s="59"/>
      <c r="J531" s="59"/>
      <c r="K531" s="59">
        <f t="shared" si="27"/>
        <v>-58000</v>
      </c>
      <c r="L531" s="2">
        <f t="shared" si="29"/>
        <v>0</v>
      </c>
      <c r="M531" s="2"/>
      <c r="N531" s="2"/>
      <c r="O531" s="2"/>
      <c r="P531" s="2"/>
      <c r="Q531" s="2"/>
      <c r="R531" s="3"/>
      <c r="S531" s="3"/>
      <c r="T531" s="2"/>
      <c r="U531" s="2"/>
      <c r="V531" s="4"/>
      <c r="W531" s="4"/>
    </row>
    <row r="532" spans="1:23" s="5" customFormat="1" ht="15" customHeight="1">
      <c r="A532" s="354"/>
      <c r="B532" s="72" t="s">
        <v>1241</v>
      </c>
      <c r="C532" s="59">
        <v>-575000</v>
      </c>
      <c r="D532" s="51">
        <f t="shared" si="28"/>
        <v>62879386</v>
      </c>
      <c r="E532" s="36" t="s">
        <v>578</v>
      </c>
      <c r="F532" s="62"/>
      <c r="G532" s="59"/>
      <c r="H532" s="59"/>
      <c r="I532" s="59"/>
      <c r="J532" s="59"/>
      <c r="K532" s="59">
        <f t="shared" si="27"/>
        <v>-575000</v>
      </c>
      <c r="L532" s="2">
        <f t="shared" si="29"/>
        <v>0</v>
      </c>
      <c r="M532" s="2"/>
      <c r="N532" s="2"/>
      <c r="O532" s="2"/>
      <c r="P532" s="2"/>
      <c r="Q532" s="2"/>
      <c r="R532" s="3"/>
      <c r="S532" s="3"/>
      <c r="T532" s="2"/>
      <c r="U532" s="2"/>
      <c r="V532" s="4"/>
      <c r="W532" s="4"/>
    </row>
    <row r="533" spans="1:23" s="5" customFormat="1" ht="15" customHeight="1">
      <c r="A533" s="86"/>
      <c r="B533" s="72" t="s">
        <v>1308</v>
      </c>
      <c r="C533" s="59">
        <v>-155000</v>
      </c>
      <c r="D533" s="51">
        <f t="shared" si="28"/>
        <v>62724386</v>
      </c>
      <c r="E533" s="36" t="s">
        <v>578</v>
      </c>
      <c r="F533" s="62"/>
      <c r="G533" s="59"/>
      <c r="H533" s="59"/>
      <c r="I533" s="59"/>
      <c r="J533" s="59"/>
      <c r="K533" s="59">
        <f t="shared" si="27"/>
        <v>-155000</v>
      </c>
      <c r="L533" s="2">
        <f t="shared" si="29"/>
        <v>0</v>
      </c>
      <c r="M533" s="2"/>
      <c r="N533" s="2"/>
      <c r="O533" s="2"/>
      <c r="P533" s="2"/>
      <c r="Q533" s="2"/>
      <c r="R533" s="3"/>
      <c r="S533" s="3"/>
      <c r="T533" s="2"/>
      <c r="U533" s="2"/>
      <c r="V533" s="4"/>
      <c r="W533" s="4"/>
    </row>
    <row r="534" spans="1:23" s="5" customFormat="1" ht="15" customHeight="1">
      <c r="A534" s="86"/>
      <c r="B534" s="72" t="s">
        <v>884</v>
      </c>
      <c r="C534" s="59">
        <v>-1423000</v>
      </c>
      <c r="D534" s="51">
        <f t="shared" si="28"/>
        <v>61301386</v>
      </c>
      <c r="E534" s="36" t="s">
        <v>578</v>
      </c>
      <c r="F534" s="62"/>
      <c r="G534" s="59"/>
      <c r="H534" s="59"/>
      <c r="I534" s="59"/>
      <c r="J534" s="59"/>
      <c r="K534" s="59">
        <f t="shared" si="27"/>
        <v>-1423000</v>
      </c>
      <c r="L534" s="2">
        <f t="shared" si="29"/>
        <v>0</v>
      </c>
      <c r="M534" s="2"/>
      <c r="N534" s="2"/>
      <c r="O534" s="2"/>
      <c r="P534" s="2"/>
      <c r="Q534" s="2"/>
      <c r="R534" s="3"/>
      <c r="S534" s="3"/>
      <c r="T534" s="2"/>
      <c r="U534" s="2"/>
      <c r="V534" s="4"/>
      <c r="W534" s="4"/>
    </row>
    <row r="535" spans="1:23" s="5" customFormat="1" ht="15" customHeight="1">
      <c r="A535" s="354"/>
      <c r="B535" s="72" t="s">
        <v>1309</v>
      </c>
      <c r="C535" s="59">
        <v>-2634000</v>
      </c>
      <c r="D535" s="51">
        <f t="shared" si="28"/>
        <v>58667386</v>
      </c>
      <c r="E535" s="36" t="s">
        <v>578</v>
      </c>
      <c r="F535" s="62"/>
      <c r="G535" s="59"/>
      <c r="H535" s="59"/>
      <c r="I535" s="59"/>
      <c r="J535" s="59"/>
      <c r="K535" s="59">
        <f t="shared" si="27"/>
        <v>-2634000</v>
      </c>
      <c r="L535" s="2">
        <f t="shared" si="29"/>
        <v>0</v>
      </c>
      <c r="M535" s="2"/>
      <c r="N535" s="2"/>
      <c r="O535" s="2"/>
      <c r="P535" s="2"/>
      <c r="Q535" s="2"/>
      <c r="R535" s="3"/>
      <c r="S535" s="3"/>
      <c r="T535" s="2"/>
      <c r="U535" s="2"/>
      <c r="V535" s="4"/>
      <c r="W535" s="4"/>
    </row>
    <row r="536" spans="1:23" s="5" customFormat="1" ht="15" customHeight="1">
      <c r="A536" s="86"/>
      <c r="B536" s="72" t="s">
        <v>1310</v>
      </c>
      <c r="C536" s="59">
        <v>-75000</v>
      </c>
      <c r="D536" s="51">
        <f t="shared" si="28"/>
        <v>58592386</v>
      </c>
      <c r="E536" s="36" t="s">
        <v>578</v>
      </c>
      <c r="F536" s="62"/>
      <c r="G536" s="59"/>
      <c r="H536" s="59"/>
      <c r="I536" s="59"/>
      <c r="J536" s="59"/>
      <c r="K536" s="59">
        <f t="shared" si="27"/>
        <v>-75000</v>
      </c>
      <c r="L536" s="2">
        <f t="shared" si="29"/>
        <v>0</v>
      </c>
      <c r="M536" s="2"/>
      <c r="N536" s="2"/>
      <c r="O536" s="2"/>
      <c r="P536" s="2"/>
      <c r="Q536" s="2"/>
      <c r="R536" s="3"/>
      <c r="S536" s="3"/>
      <c r="T536" s="2"/>
      <c r="U536" s="2"/>
      <c r="V536" s="4"/>
      <c r="W536" s="4"/>
    </row>
    <row r="537" spans="1:23" s="5" customFormat="1" ht="15" customHeight="1">
      <c r="A537" s="354"/>
      <c r="B537" s="72" t="s">
        <v>1311</v>
      </c>
      <c r="C537" s="59">
        <v>-649905</v>
      </c>
      <c r="D537" s="51">
        <f t="shared" si="28"/>
        <v>57942481</v>
      </c>
      <c r="E537" s="36" t="s">
        <v>578</v>
      </c>
      <c r="F537" s="62"/>
      <c r="G537" s="59"/>
      <c r="H537" s="59"/>
      <c r="I537" s="59"/>
      <c r="J537" s="59"/>
      <c r="K537" s="59">
        <f t="shared" si="27"/>
        <v>-649905</v>
      </c>
      <c r="L537" s="2">
        <f t="shared" si="29"/>
        <v>0</v>
      </c>
      <c r="M537" s="2"/>
      <c r="N537" s="2"/>
      <c r="O537" s="2"/>
      <c r="P537" s="2"/>
      <c r="Q537" s="2"/>
      <c r="R537" s="3"/>
      <c r="S537" s="3"/>
      <c r="T537" s="2"/>
      <c r="U537" s="2"/>
      <c r="V537" s="4"/>
      <c r="W537" s="4"/>
    </row>
    <row r="538" spans="1:23" s="5" customFormat="1" ht="15" customHeight="1">
      <c r="A538" s="90"/>
      <c r="B538" s="72" t="s">
        <v>1312</v>
      </c>
      <c r="C538" s="59">
        <v>-4924062</v>
      </c>
      <c r="D538" s="51">
        <f t="shared" si="28"/>
        <v>53018419</v>
      </c>
      <c r="E538" s="36" t="s">
        <v>578</v>
      </c>
      <c r="F538" s="62"/>
      <c r="G538" s="59"/>
      <c r="H538" s="59"/>
      <c r="I538" s="59"/>
      <c r="J538" s="59"/>
      <c r="K538" s="59">
        <f t="shared" si="27"/>
        <v>-4924062</v>
      </c>
      <c r="L538" s="2">
        <f t="shared" si="29"/>
        <v>0</v>
      </c>
      <c r="M538" s="2"/>
      <c r="N538" s="2"/>
      <c r="O538" s="2"/>
      <c r="P538" s="2"/>
      <c r="Q538" s="2"/>
      <c r="R538" s="3"/>
      <c r="S538" s="3"/>
      <c r="T538" s="2"/>
      <c r="U538" s="2"/>
      <c r="V538" s="4"/>
      <c r="W538" s="4"/>
    </row>
    <row r="539" spans="1:23" s="5" customFormat="1" ht="15" customHeight="1">
      <c r="A539" s="86"/>
      <c r="B539" s="72" t="s">
        <v>1313</v>
      </c>
      <c r="C539" s="59">
        <v>-110000</v>
      </c>
      <c r="D539" s="51">
        <f t="shared" si="28"/>
        <v>52908419</v>
      </c>
      <c r="E539" s="36" t="s">
        <v>578</v>
      </c>
      <c r="F539" s="62"/>
      <c r="G539" s="59"/>
      <c r="H539" s="59"/>
      <c r="I539" s="59"/>
      <c r="J539" s="59"/>
      <c r="K539" s="59">
        <f t="shared" si="27"/>
        <v>-110000</v>
      </c>
      <c r="L539" s="2">
        <f t="shared" si="29"/>
        <v>0</v>
      </c>
      <c r="M539" s="2"/>
      <c r="N539" s="2"/>
      <c r="O539" s="2"/>
      <c r="P539" s="2"/>
      <c r="Q539" s="2"/>
      <c r="R539" s="3"/>
      <c r="S539" s="3"/>
      <c r="T539" s="2"/>
      <c r="U539" s="2"/>
      <c r="V539" s="4"/>
      <c r="W539" s="4"/>
    </row>
    <row r="540" spans="1:23" s="5" customFormat="1" ht="15" customHeight="1">
      <c r="A540" s="353"/>
      <c r="B540" s="72" t="s">
        <v>1314</v>
      </c>
      <c r="C540" s="93">
        <v>130000</v>
      </c>
      <c r="D540" s="51">
        <f t="shared" si="28"/>
        <v>53038419</v>
      </c>
      <c r="E540" s="36" t="s">
        <v>1</v>
      </c>
      <c r="F540" s="62"/>
      <c r="G540" s="59"/>
      <c r="H540" s="59">
        <f>C540</f>
        <v>130000</v>
      </c>
      <c r="I540" s="59"/>
      <c r="J540" s="59"/>
      <c r="K540" s="59"/>
      <c r="L540" s="2">
        <f t="shared" si="29"/>
        <v>0</v>
      </c>
      <c r="M540" s="2"/>
      <c r="N540" s="2"/>
      <c r="O540" s="2"/>
      <c r="P540" s="2"/>
      <c r="Q540" s="2"/>
      <c r="R540" s="3"/>
      <c r="S540" s="3"/>
      <c r="T540" s="2"/>
      <c r="U540" s="2"/>
      <c r="V540" s="4"/>
      <c r="W540" s="4"/>
    </row>
    <row r="541" spans="1:23" s="5" customFormat="1" ht="15" customHeight="1">
      <c r="A541" s="86"/>
      <c r="B541" s="72" t="s">
        <v>591</v>
      </c>
      <c r="C541" s="93">
        <v>-993000</v>
      </c>
      <c r="D541" s="51">
        <f t="shared" si="28"/>
        <v>52045419</v>
      </c>
      <c r="E541" s="36" t="s">
        <v>578</v>
      </c>
      <c r="F541" s="62"/>
      <c r="G541" s="59"/>
      <c r="H541" s="59"/>
      <c r="I541" s="59"/>
      <c r="J541" s="59"/>
      <c r="K541" s="59">
        <f t="shared" si="27"/>
        <v>-993000</v>
      </c>
      <c r="L541" s="2">
        <f t="shared" si="29"/>
        <v>0</v>
      </c>
      <c r="M541" s="2"/>
      <c r="N541" s="2"/>
      <c r="O541" s="2"/>
      <c r="P541" s="2"/>
      <c r="Q541" s="2"/>
      <c r="R541" s="3"/>
      <c r="S541" s="3"/>
      <c r="T541" s="2"/>
      <c r="U541" s="2"/>
      <c r="V541" s="4"/>
      <c r="W541" s="4"/>
    </row>
    <row r="542" spans="1:23" s="5" customFormat="1" ht="15" customHeight="1">
      <c r="A542" s="91"/>
      <c r="B542" s="72" t="s">
        <v>1315</v>
      </c>
      <c r="C542" s="93">
        <v>-65000</v>
      </c>
      <c r="D542" s="51">
        <f t="shared" si="28"/>
        <v>51980419</v>
      </c>
      <c r="E542" s="36" t="s">
        <v>578</v>
      </c>
      <c r="F542" s="62"/>
      <c r="G542" s="59"/>
      <c r="H542" s="59"/>
      <c r="I542" s="59"/>
      <c r="J542" s="59"/>
      <c r="K542" s="59">
        <f t="shared" si="27"/>
        <v>-65000</v>
      </c>
      <c r="L542" s="2">
        <f t="shared" si="29"/>
        <v>0</v>
      </c>
      <c r="M542" s="2"/>
      <c r="N542" s="2"/>
      <c r="O542" s="2"/>
      <c r="P542" s="2"/>
      <c r="Q542" s="2"/>
      <c r="R542" s="3"/>
      <c r="S542" s="3"/>
      <c r="T542" s="2"/>
      <c r="U542" s="2"/>
      <c r="V542" s="4"/>
      <c r="W542" s="4"/>
    </row>
    <row r="543" spans="1:23" s="5" customFormat="1" ht="15" customHeight="1">
      <c r="A543" s="90"/>
      <c r="B543" s="72" t="s">
        <v>1316</v>
      </c>
      <c r="C543" s="93">
        <v>9700000</v>
      </c>
      <c r="D543" s="51">
        <f t="shared" si="28"/>
        <v>61680419</v>
      </c>
      <c r="E543" s="36" t="s">
        <v>585</v>
      </c>
      <c r="F543" s="62">
        <f>C543</f>
        <v>9700000</v>
      </c>
      <c r="G543" s="59"/>
      <c r="H543" s="59"/>
      <c r="I543" s="59"/>
      <c r="J543" s="59"/>
      <c r="K543" s="59"/>
      <c r="L543" s="2">
        <f t="shared" si="29"/>
        <v>0</v>
      </c>
      <c r="M543" s="2"/>
      <c r="N543" s="2"/>
      <c r="O543" s="2"/>
      <c r="P543" s="2"/>
      <c r="Q543" s="2"/>
      <c r="R543" s="3"/>
      <c r="S543" s="3"/>
      <c r="T543" s="2"/>
      <c r="U543" s="2"/>
      <c r="V543" s="4"/>
      <c r="W543" s="4"/>
    </row>
    <row r="544" spans="1:23" s="5" customFormat="1" ht="15" customHeight="1">
      <c r="A544" s="86"/>
      <c r="B544" s="72" t="s">
        <v>1037</v>
      </c>
      <c r="C544" s="93">
        <v>-36000</v>
      </c>
      <c r="D544" s="51">
        <f t="shared" si="28"/>
        <v>61644419</v>
      </c>
      <c r="E544" s="36" t="s">
        <v>578</v>
      </c>
      <c r="F544" s="62"/>
      <c r="G544" s="59"/>
      <c r="H544" s="59"/>
      <c r="I544" s="59"/>
      <c r="J544" s="59"/>
      <c r="K544" s="59">
        <f t="shared" si="27"/>
        <v>-36000</v>
      </c>
      <c r="L544" s="2">
        <f t="shared" si="29"/>
        <v>0</v>
      </c>
      <c r="M544" s="2"/>
      <c r="N544" s="2"/>
      <c r="O544" s="2"/>
      <c r="P544" s="2"/>
      <c r="Q544" s="2"/>
      <c r="R544" s="3"/>
      <c r="S544" s="3"/>
      <c r="T544" s="2"/>
      <c r="U544" s="2"/>
      <c r="V544" s="4"/>
      <c r="W544" s="4"/>
    </row>
    <row r="545" spans="1:23" s="5" customFormat="1" ht="15" customHeight="1">
      <c r="A545" s="354"/>
      <c r="B545" s="72" t="s">
        <v>1317</v>
      </c>
      <c r="C545" s="93">
        <v>6660000</v>
      </c>
      <c r="D545" s="51">
        <f t="shared" si="28"/>
        <v>68304419</v>
      </c>
      <c r="E545" s="36" t="s">
        <v>585</v>
      </c>
      <c r="F545" s="62">
        <f>C545</f>
        <v>6660000</v>
      </c>
      <c r="G545" s="59"/>
      <c r="H545" s="59"/>
      <c r="I545" s="59"/>
      <c r="J545" s="59"/>
      <c r="K545" s="59"/>
      <c r="L545" s="2">
        <f t="shared" si="29"/>
        <v>0</v>
      </c>
      <c r="M545" s="2"/>
      <c r="N545" s="2"/>
      <c r="O545" s="2"/>
      <c r="P545" s="2"/>
      <c r="Q545" s="2"/>
      <c r="R545" s="3"/>
      <c r="S545" s="3"/>
      <c r="T545" s="2"/>
      <c r="U545" s="2"/>
      <c r="V545" s="4"/>
      <c r="W545" s="4"/>
    </row>
    <row r="546" spans="1:23" s="5" customFormat="1" ht="15" customHeight="1">
      <c r="A546" s="353">
        <v>45442</v>
      </c>
      <c r="B546" s="72" t="s">
        <v>577</v>
      </c>
      <c r="C546" s="59">
        <v>-11000</v>
      </c>
      <c r="D546" s="51">
        <f t="shared" si="28"/>
        <v>68293419</v>
      </c>
      <c r="E546" s="36" t="s">
        <v>578</v>
      </c>
      <c r="F546" s="62"/>
      <c r="G546" s="59"/>
      <c r="H546" s="59"/>
      <c r="I546" s="59"/>
      <c r="J546" s="59"/>
      <c r="K546" s="59">
        <f t="shared" si="27"/>
        <v>-11000</v>
      </c>
      <c r="L546" s="2">
        <f t="shared" si="29"/>
        <v>0</v>
      </c>
      <c r="M546" s="2"/>
      <c r="N546" s="2"/>
      <c r="O546" s="2"/>
      <c r="P546" s="2"/>
      <c r="Q546" s="2"/>
      <c r="R546" s="3"/>
      <c r="S546" s="3"/>
      <c r="T546" s="2"/>
      <c r="U546" s="2"/>
      <c r="V546" s="4"/>
      <c r="W546" s="4"/>
    </row>
    <row r="547" spans="1:23" s="5" customFormat="1" ht="15" customHeight="1">
      <c r="B547" s="458" t="s">
        <v>1318</v>
      </c>
      <c r="C547" s="59"/>
      <c r="D547" s="51">
        <f t="shared" si="28"/>
        <v>68293419</v>
      </c>
      <c r="E547" s="36" t="s">
        <v>585</v>
      </c>
      <c r="F547" s="62">
        <f>C547</f>
        <v>0</v>
      </c>
      <c r="G547" s="59"/>
      <c r="H547" s="59"/>
      <c r="I547" s="59"/>
      <c r="J547" s="59"/>
      <c r="K547" s="59">
        <f t="shared" si="27"/>
        <v>0</v>
      </c>
      <c r="L547" s="2">
        <f t="shared" si="29"/>
        <v>0</v>
      </c>
      <c r="M547" s="2"/>
      <c r="N547" s="2"/>
      <c r="O547" s="2"/>
      <c r="P547" s="2"/>
      <c r="Q547" s="2"/>
      <c r="R547" s="3"/>
      <c r="S547" s="3"/>
      <c r="T547" s="2"/>
      <c r="U547" s="2"/>
      <c r="V547" s="4"/>
      <c r="W547" s="4"/>
    </row>
    <row r="548" spans="1:23" s="5" customFormat="1" ht="15" customHeight="1">
      <c r="B548" s="72" t="s">
        <v>584</v>
      </c>
      <c r="C548" s="59">
        <v>-693000</v>
      </c>
      <c r="D548" s="51">
        <f t="shared" si="28"/>
        <v>67600419</v>
      </c>
      <c r="E548" s="36" t="s">
        <v>578</v>
      </c>
      <c r="F548" s="62"/>
      <c r="G548" s="59"/>
      <c r="H548" s="59"/>
      <c r="I548" s="59"/>
      <c r="J548" s="59"/>
      <c r="K548" s="59">
        <f t="shared" si="27"/>
        <v>-693000</v>
      </c>
      <c r="L548" s="2">
        <f t="shared" si="29"/>
        <v>0</v>
      </c>
      <c r="M548" s="2"/>
      <c r="N548" s="2"/>
      <c r="O548" s="2"/>
      <c r="P548" s="2"/>
      <c r="Q548" s="2"/>
      <c r="R548" s="3"/>
      <c r="S548" s="3"/>
      <c r="T548" s="2"/>
      <c r="U548" s="2"/>
      <c r="V548" s="4"/>
      <c r="W548" s="4"/>
    </row>
    <row r="549" spans="1:23" s="5" customFormat="1" ht="15" customHeight="1">
      <c r="A549" s="354"/>
      <c r="B549" s="72" t="s">
        <v>1319</v>
      </c>
      <c r="C549" s="59">
        <v>-200000</v>
      </c>
      <c r="D549" s="51">
        <f t="shared" si="28"/>
        <v>67400419</v>
      </c>
      <c r="E549" s="36" t="s">
        <v>578</v>
      </c>
      <c r="F549" s="62"/>
      <c r="G549" s="59"/>
      <c r="H549" s="59"/>
      <c r="I549" s="59"/>
      <c r="J549" s="59"/>
      <c r="K549" s="59">
        <f t="shared" si="27"/>
        <v>-200000</v>
      </c>
      <c r="L549" s="2">
        <f t="shared" si="29"/>
        <v>0</v>
      </c>
      <c r="M549" s="2"/>
      <c r="N549" s="2"/>
      <c r="O549" s="2"/>
      <c r="P549" s="2"/>
      <c r="Q549" s="2"/>
      <c r="R549" s="3"/>
      <c r="S549" s="3"/>
      <c r="T549" s="2"/>
      <c r="U549" s="2"/>
      <c r="V549" s="4"/>
      <c r="W549" s="4"/>
    </row>
    <row r="550" spans="1:23" s="5" customFormat="1" ht="15" customHeight="1">
      <c r="A550" s="91"/>
      <c r="B550" s="72" t="s">
        <v>1320</v>
      </c>
      <c r="C550" s="59">
        <v>-650000</v>
      </c>
      <c r="D550" s="51">
        <f t="shared" si="28"/>
        <v>66750419</v>
      </c>
      <c r="E550" s="36" t="s">
        <v>578</v>
      </c>
      <c r="F550" s="62"/>
      <c r="G550" s="59"/>
      <c r="H550" s="59"/>
      <c r="I550" s="59"/>
      <c r="J550" s="59"/>
      <c r="K550" s="59">
        <f t="shared" ref="K550:K587" si="30">C550</f>
        <v>-650000</v>
      </c>
      <c r="L550" s="2">
        <f t="shared" si="29"/>
        <v>0</v>
      </c>
      <c r="M550" s="2"/>
      <c r="N550" s="2"/>
      <c r="O550" s="2"/>
      <c r="P550" s="2"/>
      <c r="Q550" s="2"/>
      <c r="R550" s="3"/>
      <c r="S550" s="3"/>
      <c r="T550" s="2"/>
      <c r="U550" s="2"/>
      <c r="V550" s="4"/>
      <c r="W550" s="4"/>
    </row>
    <row r="551" spans="1:23" s="5" customFormat="1" ht="15" customHeight="1">
      <c r="B551" s="72" t="s">
        <v>1321</v>
      </c>
      <c r="C551" s="59">
        <v>1800000</v>
      </c>
      <c r="D551" s="51">
        <f t="shared" si="28"/>
        <v>68550419</v>
      </c>
      <c r="E551" s="36" t="s">
        <v>61</v>
      </c>
      <c r="F551" s="62"/>
      <c r="G551" s="59"/>
      <c r="H551" s="59"/>
      <c r="I551" s="59">
        <f>C551</f>
        <v>1800000</v>
      </c>
      <c r="J551" s="59"/>
      <c r="K551" s="59"/>
      <c r="L551" s="2">
        <f t="shared" si="29"/>
        <v>0</v>
      </c>
      <c r="M551" s="2"/>
      <c r="N551" s="2"/>
      <c r="O551" s="2"/>
      <c r="P551" s="2"/>
      <c r="Q551" s="2"/>
      <c r="R551" s="3"/>
      <c r="S551" s="3"/>
      <c r="T551" s="2"/>
      <c r="U551" s="2"/>
      <c r="V551" s="4"/>
      <c r="W551" s="4"/>
    </row>
    <row r="552" spans="1:23" s="5" customFormat="1" ht="15" customHeight="1">
      <c r="A552" s="352"/>
      <c r="B552" s="72" t="s">
        <v>591</v>
      </c>
      <c r="C552" s="59">
        <v>-2850500</v>
      </c>
      <c r="D552" s="51">
        <f t="shared" si="28"/>
        <v>65699919</v>
      </c>
      <c r="E552" s="36" t="s">
        <v>578</v>
      </c>
      <c r="F552" s="62"/>
      <c r="G552" s="59"/>
      <c r="H552" s="444"/>
      <c r="I552" s="59"/>
      <c r="J552" s="59"/>
      <c r="K552" s="59">
        <f t="shared" si="30"/>
        <v>-2850500</v>
      </c>
      <c r="L552" s="2">
        <f t="shared" si="29"/>
        <v>0</v>
      </c>
      <c r="M552" s="2"/>
      <c r="N552" s="2"/>
      <c r="O552" s="2"/>
      <c r="P552" s="2"/>
      <c r="Q552" s="2"/>
      <c r="R552" s="3"/>
      <c r="S552" s="3"/>
      <c r="T552" s="2"/>
      <c r="U552" s="2"/>
      <c r="V552" s="4"/>
      <c r="W552" s="4"/>
    </row>
    <row r="553" spans="1:23" s="5" customFormat="1" ht="15" customHeight="1">
      <c r="A553" s="353"/>
      <c r="B553" s="287" t="s">
        <v>603</v>
      </c>
      <c r="C553" s="59">
        <v>-20000000</v>
      </c>
      <c r="D553" s="51">
        <f t="shared" si="28"/>
        <v>45699919</v>
      </c>
      <c r="E553" s="36" t="s">
        <v>583</v>
      </c>
      <c r="F553" s="62"/>
      <c r="G553" s="59"/>
      <c r="H553" s="59"/>
      <c r="I553" s="59"/>
      <c r="J553" s="59">
        <f>C553</f>
        <v>-20000000</v>
      </c>
      <c r="K553" s="59"/>
      <c r="L553" s="2">
        <f t="shared" si="29"/>
        <v>0</v>
      </c>
      <c r="M553" s="2"/>
      <c r="N553" s="2"/>
      <c r="O553" s="2"/>
      <c r="P553" s="2"/>
      <c r="Q553" s="2"/>
      <c r="R553" s="3"/>
      <c r="S553" s="3"/>
      <c r="T553" s="2"/>
      <c r="U553" s="2"/>
      <c r="V553" s="4"/>
      <c r="W553" s="4"/>
    </row>
    <row r="554" spans="1:23" s="5" customFormat="1" ht="15" customHeight="1">
      <c r="B554" s="72" t="s">
        <v>884</v>
      </c>
      <c r="C554" s="59">
        <v>-166000</v>
      </c>
      <c r="D554" s="51">
        <f t="shared" si="28"/>
        <v>45533919</v>
      </c>
      <c r="E554" s="36" t="s">
        <v>578</v>
      </c>
      <c r="F554" s="62"/>
      <c r="G554" s="59"/>
      <c r="H554" s="59"/>
      <c r="I554" s="59"/>
      <c r="J554" s="59"/>
      <c r="K554" s="59">
        <f t="shared" si="30"/>
        <v>-166000</v>
      </c>
      <c r="L554" s="2">
        <f t="shared" si="29"/>
        <v>0</v>
      </c>
      <c r="M554" s="2"/>
      <c r="N554" s="2"/>
      <c r="O554" s="2"/>
      <c r="P554" s="2"/>
      <c r="Q554" s="2"/>
      <c r="R554" s="3"/>
      <c r="S554" s="3"/>
      <c r="T554" s="2"/>
      <c r="U554" s="2"/>
      <c r="V554" s="4"/>
      <c r="W554" s="4"/>
    </row>
    <row r="555" spans="1:23" s="5" customFormat="1" ht="15" customHeight="1">
      <c r="A555" s="354"/>
      <c r="B555" s="72" t="s">
        <v>1322</v>
      </c>
      <c r="C555" s="59">
        <v>-100000</v>
      </c>
      <c r="D555" s="51">
        <f t="shared" si="28"/>
        <v>45433919</v>
      </c>
      <c r="E555" s="36" t="s">
        <v>578</v>
      </c>
      <c r="F555" s="62"/>
      <c r="G555" s="59"/>
      <c r="H555" s="59"/>
      <c r="I555" s="59"/>
      <c r="J555" s="59"/>
      <c r="K555" s="59">
        <f t="shared" si="30"/>
        <v>-100000</v>
      </c>
      <c r="L555" s="2">
        <f t="shared" si="29"/>
        <v>0</v>
      </c>
      <c r="M555" s="2"/>
      <c r="N555" s="2"/>
      <c r="O555" s="2"/>
      <c r="P555" s="2"/>
      <c r="Q555" s="2"/>
      <c r="R555" s="3"/>
      <c r="S555" s="3"/>
      <c r="T555" s="2"/>
      <c r="U555" s="2"/>
      <c r="V555" s="4"/>
      <c r="W555" s="4"/>
    </row>
    <row r="556" spans="1:23" s="5" customFormat="1" ht="15" customHeight="1">
      <c r="A556" s="354"/>
      <c r="B556" s="72" t="s">
        <v>594</v>
      </c>
      <c r="C556" s="59">
        <v>-433000</v>
      </c>
      <c r="D556" s="51">
        <f t="shared" si="28"/>
        <v>45000919</v>
      </c>
      <c r="E556" s="36" t="s">
        <v>578</v>
      </c>
      <c r="F556" s="62"/>
      <c r="G556" s="59"/>
      <c r="H556" s="59"/>
      <c r="I556" s="59"/>
      <c r="J556" s="59"/>
      <c r="K556" s="59">
        <f t="shared" si="30"/>
        <v>-433000</v>
      </c>
      <c r="L556" s="2">
        <f t="shared" si="29"/>
        <v>0</v>
      </c>
      <c r="M556" s="2"/>
      <c r="N556" s="2"/>
      <c r="O556" s="2"/>
      <c r="P556" s="2"/>
      <c r="Q556" s="2"/>
      <c r="R556" s="3"/>
      <c r="S556" s="3"/>
      <c r="T556" s="2"/>
      <c r="U556" s="2"/>
      <c r="V556" s="4"/>
      <c r="W556" s="4"/>
    </row>
    <row r="557" spans="1:23" s="5" customFormat="1" ht="15" customHeight="1">
      <c r="A557" s="353"/>
      <c r="B557" s="72" t="s">
        <v>1323</v>
      </c>
      <c r="C557" s="59">
        <v>-65000</v>
      </c>
      <c r="D557" s="51">
        <f t="shared" si="28"/>
        <v>44935919</v>
      </c>
      <c r="E557" s="36" t="s">
        <v>578</v>
      </c>
      <c r="F557" s="62"/>
      <c r="G557" s="59"/>
      <c r="H557" s="59"/>
      <c r="I557" s="59"/>
      <c r="J557" s="59"/>
      <c r="K557" s="59">
        <f t="shared" si="30"/>
        <v>-65000</v>
      </c>
      <c r="L557" s="2">
        <f t="shared" si="29"/>
        <v>0</v>
      </c>
      <c r="M557" s="2"/>
      <c r="N557" s="2"/>
      <c r="O557" s="2"/>
      <c r="P557" s="2"/>
      <c r="Q557" s="2"/>
      <c r="R557" s="3"/>
      <c r="S557" s="3"/>
      <c r="T557" s="2"/>
      <c r="U557" s="2"/>
      <c r="V557" s="4"/>
      <c r="W557" s="4"/>
    </row>
    <row r="558" spans="1:23" s="5" customFormat="1" ht="15" customHeight="1">
      <c r="B558" s="72" t="s">
        <v>1324</v>
      </c>
      <c r="C558" s="59">
        <v>-85500</v>
      </c>
      <c r="D558" s="51">
        <f t="shared" si="28"/>
        <v>44850419</v>
      </c>
      <c r="E558" s="36" t="s">
        <v>578</v>
      </c>
      <c r="F558" s="62"/>
      <c r="G558" s="59"/>
      <c r="H558" s="59"/>
      <c r="I558" s="59"/>
      <c r="J558" s="59"/>
      <c r="K558" s="59">
        <f t="shared" si="30"/>
        <v>-85500</v>
      </c>
      <c r="L558" s="2">
        <f t="shared" si="29"/>
        <v>0</v>
      </c>
      <c r="M558" s="2"/>
      <c r="N558" s="2"/>
      <c r="O558" s="2"/>
      <c r="P558" s="2"/>
      <c r="Q558" s="2"/>
      <c r="R558" s="3"/>
      <c r="S558" s="3"/>
      <c r="T558" s="2"/>
      <c r="U558" s="2"/>
      <c r="V558" s="4"/>
      <c r="W558" s="4"/>
    </row>
    <row r="559" spans="1:23" s="5" customFormat="1" ht="15" customHeight="1">
      <c r="A559" s="149"/>
      <c r="B559" s="72" t="s">
        <v>1325</v>
      </c>
      <c r="C559" s="59">
        <v>-104700</v>
      </c>
      <c r="D559" s="51">
        <f t="shared" si="28"/>
        <v>44745719</v>
      </c>
      <c r="E559" s="36" t="s">
        <v>578</v>
      </c>
      <c r="F559" s="62"/>
      <c r="G559" s="59"/>
      <c r="H559" s="59"/>
      <c r="I559" s="59"/>
      <c r="J559" s="59"/>
      <c r="K559" s="59">
        <f t="shared" si="30"/>
        <v>-104700</v>
      </c>
      <c r="L559" s="2">
        <f t="shared" si="29"/>
        <v>0</v>
      </c>
      <c r="M559" s="2"/>
      <c r="N559" s="2"/>
      <c r="O559" s="2"/>
      <c r="P559" s="2"/>
      <c r="Q559" s="2"/>
      <c r="R559" s="3"/>
      <c r="S559" s="3"/>
      <c r="T559" s="2"/>
      <c r="U559" s="2"/>
      <c r="V559" s="4"/>
      <c r="W559" s="4"/>
    </row>
    <row r="560" spans="1:23" s="5" customFormat="1" ht="15" customHeight="1">
      <c r="A560" s="354"/>
      <c r="B560" s="72" t="s">
        <v>1326</v>
      </c>
      <c r="C560" s="398">
        <v>-290000</v>
      </c>
      <c r="D560" s="51">
        <f t="shared" si="28"/>
        <v>44455719</v>
      </c>
      <c r="E560" s="36" t="s">
        <v>578</v>
      </c>
      <c r="F560" s="62"/>
      <c r="G560" s="59"/>
      <c r="H560" s="59"/>
      <c r="I560" s="59"/>
      <c r="J560" s="59"/>
      <c r="K560" s="59">
        <f t="shared" si="30"/>
        <v>-290000</v>
      </c>
      <c r="L560" s="2">
        <f t="shared" si="29"/>
        <v>0</v>
      </c>
      <c r="M560" s="2"/>
      <c r="N560" s="2"/>
      <c r="O560" s="2"/>
      <c r="P560" s="2"/>
      <c r="Q560" s="2"/>
      <c r="R560" s="3"/>
      <c r="S560" s="3"/>
      <c r="T560" s="2"/>
      <c r="U560" s="2"/>
      <c r="V560" s="4"/>
      <c r="W560" s="4"/>
    </row>
    <row r="561" spans="1:23" s="5" customFormat="1" ht="15" customHeight="1">
      <c r="B561" s="72" t="s">
        <v>1327</v>
      </c>
      <c r="C561" s="59">
        <v>-44900</v>
      </c>
      <c r="D561" s="51">
        <f t="shared" si="28"/>
        <v>44410819</v>
      </c>
      <c r="E561" s="36" t="s">
        <v>578</v>
      </c>
      <c r="F561" s="62"/>
      <c r="G561" s="59"/>
      <c r="H561" s="59"/>
      <c r="I561" s="59"/>
      <c r="J561" s="59"/>
      <c r="K561" s="59">
        <f t="shared" si="30"/>
        <v>-44900</v>
      </c>
      <c r="L561" s="2">
        <f t="shared" si="29"/>
        <v>0</v>
      </c>
      <c r="M561" s="2"/>
      <c r="N561" s="2"/>
      <c r="O561" s="2"/>
      <c r="P561" s="2"/>
      <c r="Q561" s="2"/>
      <c r="R561" s="3"/>
      <c r="S561" s="3"/>
      <c r="T561" s="2"/>
      <c r="U561" s="2"/>
      <c r="V561" s="4"/>
      <c r="W561" s="4"/>
    </row>
    <row r="562" spans="1:23" s="5" customFormat="1" ht="15" customHeight="1">
      <c r="A562" s="149"/>
      <c r="B562" s="72" t="s">
        <v>604</v>
      </c>
      <c r="C562" s="59">
        <v>-181000</v>
      </c>
      <c r="D562" s="51">
        <f t="shared" si="28"/>
        <v>44229819</v>
      </c>
      <c r="E562" s="36" t="s">
        <v>578</v>
      </c>
      <c r="F562" s="62"/>
      <c r="G562" s="59"/>
      <c r="H562" s="59"/>
      <c r="I562" s="59"/>
      <c r="J562" s="59"/>
      <c r="K562" s="59">
        <f t="shared" si="30"/>
        <v>-181000</v>
      </c>
      <c r="L562" s="2">
        <f t="shared" si="29"/>
        <v>0</v>
      </c>
      <c r="M562" s="2"/>
      <c r="N562" s="2"/>
      <c r="O562" s="2"/>
      <c r="P562" s="2"/>
      <c r="Q562" s="2"/>
      <c r="R562" s="3"/>
      <c r="S562" s="3"/>
      <c r="T562" s="2"/>
      <c r="U562" s="2"/>
      <c r="V562" s="4"/>
      <c r="W562" s="4"/>
    </row>
    <row r="563" spans="1:23" s="5" customFormat="1" ht="15" customHeight="1">
      <c r="A563" s="149"/>
      <c r="B563" s="72" t="s">
        <v>1324</v>
      </c>
      <c r="C563" s="59">
        <v>-1530000</v>
      </c>
      <c r="D563" s="51">
        <f t="shared" si="28"/>
        <v>42699819</v>
      </c>
      <c r="E563" s="36" t="s">
        <v>578</v>
      </c>
      <c r="F563" s="62"/>
      <c r="G563" s="59"/>
      <c r="H563" s="59"/>
      <c r="I563" s="59"/>
      <c r="J563" s="59"/>
      <c r="K563" s="59">
        <f t="shared" si="30"/>
        <v>-1530000</v>
      </c>
      <c r="L563" s="2">
        <f t="shared" si="29"/>
        <v>0</v>
      </c>
      <c r="M563" s="2"/>
      <c r="N563" s="2"/>
      <c r="O563" s="2"/>
      <c r="P563" s="2"/>
      <c r="Q563" s="2"/>
      <c r="R563" s="3"/>
      <c r="S563" s="3"/>
      <c r="T563" s="2"/>
      <c r="U563" s="2"/>
      <c r="V563" s="4"/>
      <c r="W563" s="4"/>
    </row>
    <row r="564" spans="1:23" s="5" customFormat="1" ht="15" customHeight="1">
      <c r="A564" s="91"/>
      <c r="B564" s="72" t="s">
        <v>1328</v>
      </c>
      <c r="C564" s="59">
        <v>-93800</v>
      </c>
      <c r="D564" s="51">
        <f t="shared" si="28"/>
        <v>42606019</v>
      </c>
      <c r="E564" s="36" t="s">
        <v>578</v>
      </c>
      <c r="F564" s="62"/>
      <c r="G564" s="59"/>
      <c r="H564" s="59"/>
      <c r="I564" s="59"/>
      <c r="J564" s="59"/>
      <c r="K564" s="59">
        <f t="shared" si="30"/>
        <v>-93800</v>
      </c>
      <c r="L564" s="2">
        <f t="shared" si="29"/>
        <v>0</v>
      </c>
      <c r="M564" s="2"/>
      <c r="N564" s="2"/>
      <c r="O564" s="2"/>
      <c r="P564" s="2"/>
      <c r="Q564" s="2"/>
      <c r="R564" s="3"/>
      <c r="S564" s="3"/>
      <c r="T564" s="2"/>
      <c r="U564" s="2"/>
      <c r="V564" s="4"/>
      <c r="W564" s="4"/>
    </row>
    <row r="565" spans="1:23" s="5" customFormat="1" ht="15" customHeight="1">
      <c r="B565" s="72" t="s">
        <v>1329</v>
      </c>
      <c r="C565" s="59">
        <v>-65000</v>
      </c>
      <c r="D565" s="51">
        <f t="shared" si="28"/>
        <v>42541019</v>
      </c>
      <c r="E565" s="36" t="s">
        <v>578</v>
      </c>
      <c r="F565" s="62"/>
      <c r="G565" s="59"/>
      <c r="H565" s="59"/>
      <c r="I565" s="59"/>
      <c r="J565" s="59"/>
      <c r="K565" s="59">
        <f t="shared" si="30"/>
        <v>-65000</v>
      </c>
      <c r="L565" s="2">
        <f t="shared" si="29"/>
        <v>0</v>
      </c>
      <c r="M565" s="2"/>
      <c r="N565" s="2"/>
      <c r="O565" s="2"/>
      <c r="P565" s="2"/>
      <c r="Q565" s="2"/>
      <c r="R565" s="3"/>
      <c r="S565" s="3"/>
      <c r="T565" s="2"/>
      <c r="U565" s="2"/>
      <c r="V565" s="4"/>
      <c r="W565" s="4"/>
    </row>
    <row r="566" spans="1:23" s="5" customFormat="1" ht="15" customHeight="1">
      <c r="A566" s="354"/>
      <c r="B566" s="72" t="s">
        <v>1330</v>
      </c>
      <c r="C566" s="59">
        <v>-75000</v>
      </c>
      <c r="D566" s="51">
        <f t="shared" si="28"/>
        <v>42466019</v>
      </c>
      <c r="E566" s="36" t="s">
        <v>578</v>
      </c>
      <c r="F566" s="62"/>
      <c r="G566" s="59"/>
      <c r="H566" s="59"/>
      <c r="I566" s="59"/>
      <c r="J566" s="59"/>
      <c r="K566" s="59">
        <f t="shared" si="30"/>
        <v>-75000</v>
      </c>
      <c r="L566" s="2">
        <f t="shared" si="29"/>
        <v>0</v>
      </c>
      <c r="M566" s="2"/>
      <c r="N566" s="2"/>
      <c r="O566" s="2"/>
      <c r="P566" s="2"/>
      <c r="Q566" s="2"/>
      <c r="R566" s="3"/>
      <c r="S566" s="3"/>
      <c r="T566" s="2"/>
      <c r="U566" s="2"/>
      <c r="V566" s="4"/>
      <c r="W566" s="4"/>
    </row>
    <row r="567" spans="1:23" s="5" customFormat="1" ht="15" customHeight="1">
      <c r="B567" s="72" t="s">
        <v>1331</v>
      </c>
      <c r="C567" s="59"/>
      <c r="D567" s="51">
        <f t="shared" si="28"/>
        <v>42466019</v>
      </c>
      <c r="E567" s="36" t="s">
        <v>585</v>
      </c>
      <c r="F567" s="62">
        <f>C567</f>
        <v>0</v>
      </c>
      <c r="G567" s="59"/>
      <c r="H567" s="59"/>
      <c r="I567" s="59"/>
      <c r="J567" s="59"/>
      <c r="K567" s="59">
        <f t="shared" si="30"/>
        <v>0</v>
      </c>
      <c r="L567" s="2">
        <f t="shared" si="29"/>
        <v>0</v>
      </c>
      <c r="M567" s="2"/>
      <c r="N567" s="2"/>
      <c r="O567" s="2"/>
      <c r="P567" s="2"/>
      <c r="Q567" s="2"/>
      <c r="R567" s="3"/>
      <c r="S567" s="3"/>
      <c r="T567" s="2"/>
      <c r="U567" s="2"/>
      <c r="V567" s="4"/>
      <c r="W567" s="4"/>
    </row>
    <row r="568" spans="1:23" s="5" customFormat="1" ht="15" customHeight="1">
      <c r="A568" s="149"/>
      <c r="B568" s="459" t="s">
        <v>1332</v>
      </c>
      <c r="C568" s="59">
        <v>-65000</v>
      </c>
      <c r="D568" s="51">
        <f t="shared" si="28"/>
        <v>42401019</v>
      </c>
      <c r="E568" s="36" t="s">
        <v>578</v>
      </c>
      <c r="F568" s="62"/>
      <c r="G568" s="59"/>
      <c r="H568" s="59"/>
      <c r="I568" s="59"/>
      <c r="J568" s="59"/>
      <c r="K568" s="59">
        <f t="shared" si="30"/>
        <v>-65000</v>
      </c>
      <c r="L568" s="2">
        <f t="shared" si="29"/>
        <v>0</v>
      </c>
      <c r="M568" s="2"/>
      <c r="N568" s="2"/>
      <c r="O568" s="2"/>
      <c r="P568" s="2"/>
      <c r="Q568" s="2"/>
      <c r="R568" s="3"/>
      <c r="S568" s="3"/>
      <c r="T568" s="2"/>
      <c r="U568" s="2"/>
      <c r="V568" s="4"/>
      <c r="W568" s="4"/>
    </row>
    <row r="569" spans="1:23" s="5" customFormat="1" ht="15" customHeight="1">
      <c r="A569" s="353">
        <v>45443</v>
      </c>
      <c r="B569" s="72" t="s">
        <v>577</v>
      </c>
      <c r="C569" s="59">
        <v>-11000</v>
      </c>
      <c r="D569" s="51">
        <f t="shared" si="28"/>
        <v>42390019</v>
      </c>
      <c r="E569" s="36" t="s">
        <v>578</v>
      </c>
      <c r="F569" s="62"/>
      <c r="G569" s="59"/>
      <c r="H569" s="59"/>
      <c r="I569" s="59"/>
      <c r="J569" s="59"/>
      <c r="K569" s="59">
        <f t="shared" si="30"/>
        <v>-11000</v>
      </c>
      <c r="L569" s="2">
        <f t="shared" si="29"/>
        <v>0</v>
      </c>
      <c r="M569" s="2"/>
      <c r="N569" s="2"/>
      <c r="O569" s="2"/>
      <c r="P569" s="2"/>
      <c r="Q569" s="2"/>
      <c r="R569" s="3"/>
      <c r="S569" s="3"/>
      <c r="T569" s="2"/>
      <c r="U569" s="2"/>
      <c r="V569" s="4"/>
      <c r="W569" s="4"/>
    </row>
    <row r="570" spans="1:23" s="5" customFormat="1" ht="15" customHeight="1">
      <c r="B570" s="460" t="s">
        <v>1333</v>
      </c>
      <c r="C570" s="59">
        <v>-65000</v>
      </c>
      <c r="D570" s="51">
        <f t="shared" si="28"/>
        <v>42325019</v>
      </c>
      <c r="E570" s="36" t="s">
        <v>578</v>
      </c>
      <c r="F570" s="62"/>
      <c r="G570" s="59"/>
      <c r="H570" s="59"/>
      <c r="I570" s="59"/>
      <c r="J570" s="59"/>
      <c r="K570" s="59">
        <f t="shared" si="30"/>
        <v>-65000</v>
      </c>
      <c r="L570" s="2">
        <f t="shared" si="29"/>
        <v>0</v>
      </c>
      <c r="M570" s="2"/>
      <c r="N570" s="2"/>
      <c r="O570" s="2"/>
      <c r="P570" s="2"/>
      <c r="Q570" s="2"/>
      <c r="R570" s="3"/>
      <c r="S570" s="3"/>
      <c r="T570" s="2"/>
      <c r="U570" s="2"/>
      <c r="V570" s="4"/>
      <c r="W570" s="4"/>
    </row>
    <row r="571" spans="1:23" s="5" customFormat="1" ht="15" customHeight="1">
      <c r="A571" s="354"/>
      <c r="B571" s="72" t="s">
        <v>591</v>
      </c>
      <c r="C571" s="59">
        <v>-198000</v>
      </c>
      <c r="D571" s="51">
        <f t="shared" si="28"/>
        <v>42127019</v>
      </c>
      <c r="E571" s="36" t="s">
        <v>578</v>
      </c>
      <c r="F571" s="62"/>
      <c r="G571" s="59"/>
      <c r="H571" s="59"/>
      <c r="I571" s="59"/>
      <c r="J571" s="59"/>
      <c r="K571" s="59">
        <f t="shared" si="30"/>
        <v>-198000</v>
      </c>
      <c r="L571" s="2">
        <f t="shared" si="29"/>
        <v>0</v>
      </c>
      <c r="M571" s="2"/>
      <c r="N571" s="2"/>
      <c r="O571" s="2"/>
      <c r="P571" s="2"/>
      <c r="Q571" s="2"/>
      <c r="R571" s="3"/>
      <c r="S571" s="3"/>
      <c r="T571" s="2"/>
      <c r="U571" s="2"/>
      <c r="V571" s="4"/>
      <c r="W571" s="4"/>
    </row>
    <row r="572" spans="1:23" s="5" customFormat="1" ht="15" customHeight="1">
      <c r="A572" s="51"/>
      <c r="B572" s="72" t="s">
        <v>579</v>
      </c>
      <c r="C572" s="59">
        <v>-60000</v>
      </c>
      <c r="D572" s="51">
        <f t="shared" si="28"/>
        <v>42067019</v>
      </c>
      <c r="E572" s="36" t="s">
        <v>578</v>
      </c>
      <c r="F572" s="62"/>
      <c r="G572" s="59"/>
      <c r="H572" s="59"/>
      <c r="I572" s="59"/>
      <c r="J572" s="59"/>
      <c r="K572" s="59">
        <f t="shared" si="30"/>
        <v>-60000</v>
      </c>
      <c r="L572" s="2">
        <f t="shared" si="29"/>
        <v>0</v>
      </c>
      <c r="M572" s="2"/>
      <c r="N572" s="2"/>
      <c r="O572" s="2"/>
      <c r="P572" s="2"/>
      <c r="Q572" s="2"/>
      <c r="R572" s="3"/>
      <c r="S572" s="3"/>
      <c r="T572" s="2"/>
      <c r="U572" s="2"/>
      <c r="V572" s="4"/>
      <c r="W572" s="4"/>
    </row>
    <row r="573" spans="1:23" s="5" customFormat="1" ht="15" customHeight="1">
      <c r="A573" s="353"/>
      <c r="B573" s="72" t="s">
        <v>1334</v>
      </c>
      <c r="C573" s="59"/>
      <c r="D573" s="51">
        <f t="shared" si="28"/>
        <v>42067019</v>
      </c>
      <c r="E573" s="36" t="s">
        <v>61</v>
      </c>
      <c r="F573" s="62"/>
      <c r="G573" s="59"/>
      <c r="H573" s="59"/>
      <c r="I573" s="59"/>
      <c r="J573" s="59"/>
      <c r="K573" s="59">
        <f t="shared" si="30"/>
        <v>0</v>
      </c>
      <c r="L573" s="2">
        <f t="shared" si="29"/>
        <v>0</v>
      </c>
      <c r="M573" s="2"/>
      <c r="N573" s="2"/>
      <c r="O573" s="2"/>
      <c r="P573" s="2"/>
      <c r="Q573" s="2"/>
      <c r="R573" s="3"/>
      <c r="S573" s="3"/>
      <c r="T573" s="2"/>
      <c r="U573" s="2"/>
      <c r="V573" s="4"/>
      <c r="W573" s="4"/>
    </row>
    <row r="574" spans="1:23" s="5" customFormat="1" ht="15" customHeight="1">
      <c r="A574" s="6"/>
      <c r="B574" s="72" t="s">
        <v>1335</v>
      </c>
      <c r="C574" s="59">
        <v>1700000</v>
      </c>
      <c r="D574" s="51">
        <f t="shared" si="28"/>
        <v>43767019</v>
      </c>
      <c r="E574" s="36" t="s">
        <v>61</v>
      </c>
      <c r="F574" s="62"/>
      <c r="G574" s="59"/>
      <c r="H574" s="59"/>
      <c r="I574" s="59">
        <f>C574</f>
        <v>1700000</v>
      </c>
      <c r="J574" s="59"/>
      <c r="K574" s="59">
        <v>0</v>
      </c>
      <c r="L574" s="2">
        <f t="shared" si="29"/>
        <v>0</v>
      </c>
      <c r="M574" s="2"/>
      <c r="N574" s="2"/>
      <c r="O574" s="2"/>
      <c r="P574" s="2"/>
      <c r="Q574" s="2"/>
      <c r="R574" s="3"/>
      <c r="S574" s="3"/>
      <c r="T574" s="2"/>
      <c r="U574" s="2"/>
      <c r="V574" s="4"/>
      <c r="W574" s="4"/>
    </row>
    <row r="575" spans="1:23" s="5" customFormat="1" ht="15" customHeight="1">
      <c r="A575" s="6"/>
      <c r="B575" s="72" t="s">
        <v>591</v>
      </c>
      <c r="C575" s="59">
        <v>-1039000</v>
      </c>
      <c r="D575" s="51">
        <f t="shared" si="28"/>
        <v>42728019</v>
      </c>
      <c r="E575" s="36" t="s">
        <v>578</v>
      </c>
      <c r="F575" s="62"/>
      <c r="G575" s="59"/>
      <c r="H575" s="59"/>
      <c r="I575" s="59"/>
      <c r="J575" s="59"/>
      <c r="K575" s="59">
        <f t="shared" si="30"/>
        <v>-1039000</v>
      </c>
      <c r="L575" s="2">
        <f t="shared" si="29"/>
        <v>0</v>
      </c>
      <c r="M575" s="2"/>
      <c r="N575" s="2"/>
      <c r="O575" s="2"/>
      <c r="P575" s="2"/>
      <c r="Q575" s="2"/>
      <c r="R575" s="3"/>
      <c r="S575" s="3"/>
      <c r="T575" s="2"/>
      <c r="U575" s="2"/>
      <c r="V575" s="4"/>
      <c r="W575" s="4"/>
    </row>
    <row r="576" spans="1:23" s="5" customFormat="1" ht="15" customHeight="1">
      <c r="A576" s="354"/>
      <c r="B576" s="72" t="s">
        <v>579</v>
      </c>
      <c r="C576" s="59">
        <v>-340000</v>
      </c>
      <c r="D576" s="51">
        <f t="shared" si="28"/>
        <v>42388019</v>
      </c>
      <c r="E576" s="36" t="s">
        <v>578</v>
      </c>
      <c r="F576" s="62"/>
      <c r="G576" s="59"/>
      <c r="H576" s="59"/>
      <c r="I576" s="59"/>
      <c r="J576" s="59"/>
      <c r="K576" s="59">
        <f t="shared" si="30"/>
        <v>-340000</v>
      </c>
      <c r="L576" s="2">
        <f t="shared" si="29"/>
        <v>0</v>
      </c>
      <c r="M576" s="2"/>
      <c r="N576" s="2"/>
      <c r="O576" s="2"/>
      <c r="P576" s="2"/>
      <c r="Q576" s="2"/>
      <c r="R576" s="3"/>
      <c r="S576" s="3"/>
      <c r="T576" s="2"/>
      <c r="U576" s="2"/>
      <c r="V576" s="4"/>
      <c r="W576" s="4"/>
    </row>
    <row r="577" spans="1:23" s="5" customFormat="1" ht="15" customHeight="1">
      <c r="A577" s="354"/>
      <c r="B577" s="72" t="s">
        <v>586</v>
      </c>
      <c r="C577" s="59">
        <v>-229000</v>
      </c>
      <c r="D577" s="51">
        <f t="shared" si="28"/>
        <v>42159019</v>
      </c>
      <c r="E577" s="36" t="s">
        <v>578</v>
      </c>
      <c r="F577" s="62"/>
      <c r="G577" s="59"/>
      <c r="H577" s="59"/>
      <c r="I577" s="59"/>
      <c r="J577" s="59"/>
      <c r="K577" s="59">
        <f t="shared" si="30"/>
        <v>-229000</v>
      </c>
      <c r="L577" s="2">
        <f t="shared" si="29"/>
        <v>0</v>
      </c>
      <c r="M577" s="2"/>
      <c r="N577" s="2"/>
      <c r="O577" s="2"/>
      <c r="P577" s="2"/>
      <c r="Q577" s="2"/>
      <c r="R577" s="3"/>
      <c r="S577" s="3"/>
      <c r="T577" s="2"/>
      <c r="U577" s="2"/>
      <c r="V577" s="4"/>
      <c r="W577" s="4"/>
    </row>
    <row r="578" spans="1:23" s="5" customFormat="1" ht="15" customHeight="1">
      <c r="B578" s="72" t="s">
        <v>589</v>
      </c>
      <c r="C578" s="59">
        <v>-618000</v>
      </c>
      <c r="D578" s="51">
        <f t="shared" si="28"/>
        <v>41541019</v>
      </c>
      <c r="E578" s="36" t="s">
        <v>578</v>
      </c>
      <c r="F578" s="62"/>
      <c r="G578" s="59"/>
      <c r="H578" s="59"/>
      <c r="I578" s="59"/>
      <c r="J578" s="59"/>
      <c r="K578" s="59">
        <f t="shared" si="30"/>
        <v>-618000</v>
      </c>
      <c r="L578" s="2">
        <f t="shared" si="29"/>
        <v>0</v>
      </c>
      <c r="M578" s="2"/>
      <c r="N578" s="2"/>
      <c r="O578" s="2"/>
      <c r="P578" s="2"/>
      <c r="Q578" s="2"/>
      <c r="R578" s="3"/>
      <c r="S578" s="3"/>
      <c r="T578" s="2"/>
      <c r="U578" s="2"/>
      <c r="V578" s="4"/>
      <c r="W578" s="4"/>
    </row>
    <row r="579" spans="1:23" s="5" customFormat="1" ht="15" customHeight="1">
      <c r="A579" s="353"/>
      <c r="B579" s="72" t="s">
        <v>1241</v>
      </c>
      <c r="C579" s="59">
        <v>-79000</v>
      </c>
      <c r="D579" s="51">
        <f t="shared" si="28"/>
        <v>41462019</v>
      </c>
      <c r="E579" s="36" t="s">
        <v>578</v>
      </c>
      <c r="F579" s="62"/>
      <c r="G579" s="59"/>
      <c r="H579" s="59"/>
      <c r="I579" s="59"/>
      <c r="J579" s="59"/>
      <c r="K579" s="59">
        <f t="shared" si="30"/>
        <v>-79000</v>
      </c>
      <c r="L579" s="2">
        <f t="shared" ref="L579:L588" si="31">C579-F579-G579-H579-I579-J579-K579</f>
        <v>0</v>
      </c>
      <c r="M579" s="2"/>
      <c r="N579" s="2"/>
      <c r="O579" s="2"/>
      <c r="P579" s="2"/>
      <c r="Q579" s="2"/>
      <c r="R579" s="3"/>
      <c r="S579" s="3"/>
      <c r="T579" s="2"/>
      <c r="U579" s="2"/>
      <c r="V579" s="4"/>
      <c r="W579" s="4"/>
    </row>
    <row r="580" spans="1:23" s="5" customFormat="1" ht="15" customHeight="1">
      <c r="A580" s="6"/>
      <c r="B580" s="72" t="s">
        <v>1336</v>
      </c>
      <c r="C580" s="59">
        <v>240000</v>
      </c>
      <c r="D580" s="51">
        <f t="shared" si="28"/>
        <v>41702019</v>
      </c>
      <c r="E580" s="36" t="s">
        <v>59</v>
      </c>
      <c r="F580" s="62"/>
      <c r="G580" s="59">
        <f>C580</f>
        <v>240000</v>
      </c>
      <c r="H580" s="59"/>
      <c r="I580" s="59"/>
      <c r="J580" s="59"/>
      <c r="K580" s="59">
        <v>0</v>
      </c>
      <c r="L580" s="2">
        <f t="shared" si="31"/>
        <v>0</v>
      </c>
      <c r="M580" s="2"/>
      <c r="N580" s="2"/>
      <c r="O580" s="2"/>
      <c r="P580" s="2"/>
      <c r="Q580" s="2"/>
      <c r="R580" s="3"/>
      <c r="S580" s="3"/>
      <c r="T580" s="2"/>
      <c r="U580" s="2"/>
      <c r="V580" s="4"/>
      <c r="W580" s="4"/>
    </row>
    <row r="581" spans="1:23" s="5" customFormat="1" ht="15" customHeight="1">
      <c r="A581" s="6"/>
      <c r="B581" s="72" t="s">
        <v>1337</v>
      </c>
      <c r="C581" s="59">
        <v>-2960000</v>
      </c>
      <c r="D581" s="51">
        <f t="shared" si="28"/>
        <v>38742019</v>
      </c>
      <c r="E581" s="36" t="s">
        <v>578</v>
      </c>
      <c r="F581" s="62"/>
      <c r="G581" s="59"/>
      <c r="H581" s="59"/>
      <c r="I581" s="59"/>
      <c r="J581" s="59"/>
      <c r="K581" s="59">
        <f t="shared" si="30"/>
        <v>-2960000</v>
      </c>
      <c r="L581" s="2">
        <f t="shared" si="31"/>
        <v>0</v>
      </c>
      <c r="M581" s="2"/>
      <c r="N581" s="2"/>
      <c r="O581" s="2"/>
      <c r="P581" s="2"/>
      <c r="Q581" s="2"/>
      <c r="R581" s="3"/>
      <c r="S581" s="3"/>
      <c r="T581" s="2"/>
      <c r="U581" s="2"/>
      <c r="V581" s="4"/>
      <c r="W581" s="4"/>
    </row>
    <row r="582" spans="1:23" s="5" customFormat="1" ht="15" customHeight="1">
      <c r="A582" s="148"/>
      <c r="B582" s="72" t="s">
        <v>1338</v>
      </c>
      <c r="C582" s="59">
        <v>-25600</v>
      </c>
      <c r="D582" s="51">
        <f t="shared" si="28"/>
        <v>38716419</v>
      </c>
      <c r="E582" s="36" t="s">
        <v>578</v>
      </c>
      <c r="F582" s="62"/>
      <c r="G582" s="59"/>
      <c r="H582" s="59"/>
      <c r="I582" s="59"/>
      <c r="J582" s="59"/>
      <c r="K582" s="59">
        <f t="shared" si="30"/>
        <v>-25600</v>
      </c>
      <c r="L582" s="2">
        <f t="shared" si="31"/>
        <v>0</v>
      </c>
      <c r="M582" s="2"/>
      <c r="N582" s="2"/>
      <c r="O582" s="2"/>
      <c r="P582" s="2"/>
      <c r="Q582" s="2"/>
      <c r="R582" s="3"/>
      <c r="S582" s="3"/>
      <c r="T582" s="2"/>
      <c r="U582" s="2"/>
      <c r="V582" s="4"/>
      <c r="W582" s="4"/>
    </row>
    <row r="583" spans="1:23" s="5" customFormat="1" ht="15" customHeight="1">
      <c r="A583" s="354"/>
      <c r="B583" s="72" t="s">
        <v>1241</v>
      </c>
      <c r="C583" s="59">
        <v>-2025000</v>
      </c>
      <c r="D583" s="51">
        <f t="shared" si="28"/>
        <v>36691419</v>
      </c>
      <c r="E583" s="36" t="s">
        <v>578</v>
      </c>
      <c r="F583" s="62"/>
      <c r="G583" s="59"/>
      <c r="H583" s="59"/>
      <c r="I583" s="59"/>
      <c r="J583" s="59"/>
      <c r="K583" s="59">
        <f t="shared" si="30"/>
        <v>-2025000</v>
      </c>
      <c r="L583" s="2">
        <f t="shared" si="31"/>
        <v>0</v>
      </c>
      <c r="M583" s="2"/>
      <c r="N583" s="2"/>
      <c r="O583" s="2"/>
      <c r="P583" s="2"/>
      <c r="Q583" s="2"/>
      <c r="R583" s="3"/>
      <c r="S583" s="3"/>
      <c r="T583" s="2"/>
      <c r="U583" s="2"/>
      <c r="V583" s="4"/>
      <c r="W583" s="4"/>
    </row>
    <row r="584" spans="1:23" s="5" customFormat="1" ht="15" customHeight="1">
      <c r="A584" s="354"/>
      <c r="B584" s="72" t="s">
        <v>1339</v>
      </c>
      <c r="C584" s="59"/>
      <c r="D584" s="51">
        <f t="shared" si="28"/>
        <v>36691419</v>
      </c>
      <c r="E584" s="36" t="s">
        <v>585</v>
      </c>
      <c r="F584" s="62"/>
      <c r="G584" s="59"/>
      <c r="H584" s="59"/>
      <c r="I584" s="59"/>
      <c r="J584" s="59"/>
      <c r="K584" s="59">
        <f t="shared" si="30"/>
        <v>0</v>
      </c>
      <c r="L584" s="2">
        <f t="shared" si="31"/>
        <v>0</v>
      </c>
      <c r="M584" s="2"/>
      <c r="N584" s="2"/>
      <c r="O584" s="2"/>
      <c r="P584" s="2"/>
      <c r="Q584" s="2"/>
      <c r="R584" s="3"/>
      <c r="S584" s="3"/>
      <c r="T584" s="2"/>
      <c r="U584" s="2"/>
      <c r="V584" s="4"/>
      <c r="W584" s="4"/>
    </row>
    <row r="585" spans="1:23" s="5" customFormat="1" ht="15" customHeight="1">
      <c r="B585" s="72" t="s">
        <v>18</v>
      </c>
      <c r="C585" s="59">
        <v>260000</v>
      </c>
      <c r="D585" s="51">
        <f t="shared" si="28"/>
        <v>36951419</v>
      </c>
      <c r="E585" s="36" t="s">
        <v>1</v>
      </c>
      <c r="F585" s="62"/>
      <c r="G585" s="59"/>
      <c r="H585" s="59">
        <f>C585</f>
        <v>260000</v>
      </c>
      <c r="I585" s="59"/>
      <c r="J585" s="59"/>
      <c r="K585" s="59">
        <v>0</v>
      </c>
      <c r="L585" s="2">
        <f t="shared" si="31"/>
        <v>0</v>
      </c>
      <c r="M585" s="2"/>
      <c r="N585" s="2"/>
      <c r="O585" s="2"/>
      <c r="P585" s="2"/>
      <c r="Q585" s="2"/>
      <c r="R585" s="3"/>
      <c r="S585" s="3"/>
      <c r="T585" s="2"/>
      <c r="U585" s="2"/>
      <c r="V585" s="4"/>
      <c r="W585" s="4"/>
    </row>
    <row r="586" spans="1:23" s="5" customFormat="1" ht="15" customHeight="1">
      <c r="B586" s="72" t="s">
        <v>590</v>
      </c>
      <c r="C586" s="59">
        <v>-93800</v>
      </c>
      <c r="D586" s="51">
        <f t="shared" si="28"/>
        <v>36857619</v>
      </c>
      <c r="E586" s="36" t="s">
        <v>578</v>
      </c>
      <c r="F586" s="62"/>
      <c r="G586" s="59"/>
      <c r="H586" s="59"/>
      <c r="I586" s="59"/>
      <c r="J586" s="59"/>
      <c r="K586" s="59">
        <f t="shared" si="30"/>
        <v>-93800</v>
      </c>
      <c r="L586" s="2">
        <f t="shared" si="31"/>
        <v>0</v>
      </c>
      <c r="M586" s="2"/>
      <c r="N586" s="2"/>
      <c r="O586" s="2"/>
      <c r="P586" s="2"/>
      <c r="Q586" s="2"/>
      <c r="R586" s="3"/>
      <c r="S586" s="3"/>
      <c r="T586" s="2"/>
      <c r="U586" s="2"/>
      <c r="V586" s="4"/>
      <c r="W586" s="4"/>
    </row>
    <row r="587" spans="1:23" s="5" customFormat="1" ht="15" customHeight="1">
      <c r="A587" s="6"/>
      <c r="B587" s="459" t="s">
        <v>1340</v>
      </c>
      <c r="C587" s="59"/>
      <c r="D587" s="51">
        <f t="shared" si="28"/>
        <v>36857619</v>
      </c>
      <c r="E587" s="36" t="s">
        <v>61</v>
      </c>
      <c r="F587" s="62"/>
      <c r="G587" s="59"/>
      <c r="H587" s="59"/>
      <c r="I587" s="59"/>
      <c r="J587" s="59"/>
      <c r="K587" s="59">
        <f t="shared" si="30"/>
        <v>0</v>
      </c>
      <c r="L587" s="2">
        <f t="shared" si="31"/>
        <v>0</v>
      </c>
      <c r="M587" s="2"/>
      <c r="N587" s="2"/>
      <c r="O587" s="2"/>
      <c r="P587" s="2"/>
      <c r="Q587" s="2"/>
      <c r="R587" s="3"/>
      <c r="S587" s="3"/>
      <c r="T587" s="2"/>
      <c r="U587" s="2"/>
      <c r="V587" s="4"/>
      <c r="W587" s="4"/>
    </row>
    <row r="588" spans="1:23" s="5" customFormat="1" ht="15" customHeight="1">
      <c r="A588" s="353"/>
      <c r="B588" s="72" t="s">
        <v>1341</v>
      </c>
      <c r="C588" s="59">
        <v>270000</v>
      </c>
      <c r="D588" s="51">
        <f t="shared" si="28"/>
        <v>37127619</v>
      </c>
      <c r="E588" s="36" t="s">
        <v>59</v>
      </c>
      <c r="F588" s="62"/>
      <c r="G588" s="59">
        <f>C588</f>
        <v>270000</v>
      </c>
      <c r="H588" s="59"/>
      <c r="I588" s="59"/>
      <c r="J588" s="59"/>
      <c r="K588" s="59">
        <v>0</v>
      </c>
      <c r="L588" s="2">
        <f t="shared" si="31"/>
        <v>0</v>
      </c>
      <c r="M588" s="2"/>
      <c r="N588" s="2"/>
      <c r="O588" s="2"/>
      <c r="P588" s="2"/>
      <c r="Q588" s="2"/>
      <c r="R588" s="3"/>
      <c r="S588" s="3"/>
      <c r="T588" s="2"/>
      <c r="U588" s="2"/>
      <c r="V588" s="4"/>
      <c r="W588" s="4"/>
    </row>
    <row r="589" spans="1:23" s="21" customFormat="1">
      <c r="A589" s="27"/>
      <c r="B589" s="27"/>
      <c r="C589" s="6"/>
      <c r="D589" s="51"/>
      <c r="E589" s="27"/>
      <c r="F589" s="76">
        <f>SUM(F2:F588)</f>
        <v>469467000</v>
      </c>
      <c r="G589" s="76">
        <f t="shared" ref="G589:K589" si="32">SUM(G2:G588)</f>
        <v>2820000</v>
      </c>
      <c r="H589" s="76">
        <f t="shared" si="32"/>
        <v>5213000</v>
      </c>
      <c r="I589" s="76">
        <f t="shared" si="32"/>
        <v>49100000</v>
      </c>
      <c r="J589" s="76">
        <f t="shared" si="32"/>
        <v>-170000000</v>
      </c>
      <c r="K589" s="76">
        <f t="shared" si="32"/>
        <v>-353554642</v>
      </c>
      <c r="L589" s="111">
        <f>SUM(F589:K589)+D1</f>
        <v>37127619</v>
      </c>
      <c r="N589" s="111">
        <f>L589-C590</f>
        <v>0</v>
      </c>
    </row>
    <row r="590" spans="1:23">
      <c r="C590" s="61">
        <f>SUM(C2:C588)+D1</f>
        <v>37127619</v>
      </c>
      <c r="D590" s="51"/>
    </row>
    <row r="591" spans="1:23">
      <c r="D591" s="387"/>
    </row>
    <row r="592" spans="1:23">
      <c r="A592" s="476" t="s">
        <v>1425</v>
      </c>
      <c r="B592" s="478"/>
      <c r="C592" s="478"/>
      <c r="D592" s="478"/>
      <c r="E592" s="478"/>
      <c r="F592" s="478"/>
      <c r="G592" s="477"/>
      <c r="H592" s="51"/>
    </row>
    <row r="593" spans="1:11" s="34" customFormat="1">
      <c r="A593" s="87" t="s">
        <v>38</v>
      </c>
      <c r="B593" s="87" t="s">
        <v>5</v>
      </c>
      <c r="C593" s="142" t="s">
        <v>50</v>
      </c>
      <c r="D593" s="86" t="s">
        <v>11</v>
      </c>
      <c r="E593" s="86" t="s">
        <v>178</v>
      </c>
      <c r="F593" s="130" t="s">
        <v>113</v>
      </c>
      <c r="G593" s="141" t="s">
        <v>230</v>
      </c>
      <c r="H593" s="142" t="s">
        <v>491</v>
      </c>
      <c r="I593" s="90"/>
      <c r="J593" s="90"/>
      <c r="K593" s="90"/>
    </row>
    <row r="594" spans="1:11">
      <c r="A594" s="476" t="s">
        <v>693</v>
      </c>
      <c r="B594" s="477"/>
      <c r="D594" s="51"/>
      <c r="E594" s="51"/>
      <c r="F594" s="57"/>
      <c r="G594" s="115"/>
      <c r="H594" s="51"/>
    </row>
    <row r="595" spans="1:11">
      <c r="A595" s="354">
        <v>45420</v>
      </c>
      <c r="B595" s="72" t="s">
        <v>947</v>
      </c>
      <c r="C595" s="93">
        <v>-40000000</v>
      </c>
      <c r="D595" s="51"/>
      <c r="E595" s="51">
        <v>40000000</v>
      </c>
      <c r="F595" s="57"/>
      <c r="G595" s="51"/>
      <c r="H595" s="51"/>
    </row>
    <row r="596" spans="1:11">
      <c r="A596" s="353">
        <v>45425</v>
      </c>
      <c r="B596" s="72" t="s">
        <v>1013</v>
      </c>
      <c r="C596" s="93">
        <v>-80000000</v>
      </c>
      <c r="D596" s="51">
        <v>80000000</v>
      </c>
      <c r="E596" s="51"/>
      <c r="F596" s="57"/>
      <c r="G596" s="51"/>
      <c r="H596" s="51"/>
    </row>
    <row r="597" spans="1:11">
      <c r="A597" s="353">
        <v>45428</v>
      </c>
      <c r="B597" s="72" t="s">
        <v>603</v>
      </c>
      <c r="C597" s="93">
        <v>-40000000</v>
      </c>
      <c r="D597" s="51">
        <v>40000000</v>
      </c>
      <c r="E597" s="51"/>
      <c r="F597" s="57"/>
      <c r="G597" s="51"/>
      <c r="H597" s="51"/>
    </row>
    <row r="598" spans="1:11">
      <c r="A598" s="353">
        <v>45432</v>
      </c>
      <c r="B598" s="72" t="s">
        <v>1099</v>
      </c>
      <c r="C598" s="93">
        <v>-40000000</v>
      </c>
      <c r="D598" s="51">
        <v>40000000</v>
      </c>
      <c r="E598" s="51"/>
      <c r="F598" s="57"/>
      <c r="G598" s="51"/>
      <c r="H598" s="51"/>
    </row>
    <row r="599" spans="1:11">
      <c r="A599" s="353">
        <v>45434</v>
      </c>
      <c r="B599" s="72" t="s">
        <v>1231</v>
      </c>
      <c r="C599" s="93">
        <v>-40000000</v>
      </c>
      <c r="D599" s="51">
        <v>40000000</v>
      </c>
      <c r="E599" s="51"/>
      <c r="F599" s="57"/>
      <c r="G599" s="51"/>
      <c r="H599" s="51"/>
    </row>
    <row r="600" spans="1:11">
      <c r="A600" s="354">
        <v>45440</v>
      </c>
      <c r="B600" s="72" t="s">
        <v>1298</v>
      </c>
      <c r="C600" s="93">
        <v>90000000</v>
      </c>
      <c r="D600" s="51">
        <v>-90000000</v>
      </c>
      <c r="E600" s="51"/>
      <c r="F600" s="57"/>
      <c r="G600" s="51"/>
      <c r="H600" s="51"/>
    </row>
    <row r="601" spans="1:11">
      <c r="A601" s="354">
        <v>45442</v>
      </c>
      <c r="B601" s="287" t="s">
        <v>603</v>
      </c>
      <c r="C601" s="59">
        <v>-20000000</v>
      </c>
      <c r="D601" s="51"/>
      <c r="E601" s="51">
        <v>20000000</v>
      </c>
      <c r="F601" s="57"/>
      <c r="G601" s="51"/>
      <c r="H601" s="51"/>
    </row>
    <row r="602" spans="1:11">
      <c r="A602" s="476" t="s">
        <v>95</v>
      </c>
      <c r="B602" s="477"/>
      <c r="C602" s="51">
        <f>SUM(C595:C601)</f>
        <v>-170000000</v>
      </c>
      <c r="D602" s="51">
        <f t="shared" ref="D602:E602" si="33">SUM(D595:D601)</f>
        <v>110000000</v>
      </c>
      <c r="E602" s="51">
        <f t="shared" si="33"/>
        <v>60000000</v>
      </c>
      <c r="F602" s="51">
        <f>SUM(F595:F601)</f>
        <v>0</v>
      </c>
      <c r="G602" s="51">
        <f>SUM(G595:G601)</f>
        <v>0</v>
      </c>
      <c r="H602" s="51">
        <f>SUM(H595:H601)</f>
        <v>0</v>
      </c>
    </row>
    <row r="604" spans="1:11">
      <c r="B604" s="75" t="s">
        <v>129</v>
      </c>
      <c r="C604" s="85">
        <f>C602</f>
        <v>-170000000</v>
      </c>
      <c r="D604" s="58"/>
      <c r="E604" s="61"/>
      <c r="F604" s="61"/>
      <c r="J604"/>
      <c r="K604"/>
    </row>
    <row r="606" spans="1:11">
      <c r="B606" t="s">
        <v>340</v>
      </c>
      <c r="C606" s="61">
        <f>D1</f>
        <v>34082261</v>
      </c>
    </row>
    <row r="607" spans="1:11">
      <c r="B607" t="s">
        <v>341</v>
      </c>
      <c r="C607" s="61">
        <f>F589</f>
        <v>469467000</v>
      </c>
      <c r="D607" s="84"/>
    </row>
    <row r="608" spans="1:11">
      <c r="B608" t="s">
        <v>342</v>
      </c>
      <c r="C608" s="61">
        <f>G589</f>
        <v>2820000</v>
      </c>
    </row>
    <row r="609" spans="2:4">
      <c r="B609" t="s">
        <v>1430</v>
      </c>
      <c r="C609" s="61">
        <f>-D602</f>
        <v>-110000000</v>
      </c>
    </row>
    <row r="610" spans="2:4">
      <c r="B610" t="s">
        <v>646</v>
      </c>
      <c r="C610" s="61">
        <f>-E602</f>
        <v>-60000000</v>
      </c>
    </row>
    <row r="611" spans="2:4">
      <c r="B611" t="s">
        <v>119</v>
      </c>
      <c r="C611" s="61">
        <f>Kuitansi!E178</f>
        <v>6500000</v>
      </c>
    </row>
    <row r="612" spans="2:4">
      <c r="B612" t="s">
        <v>415</v>
      </c>
      <c r="C612" s="61">
        <f>Kuitansi!E182</f>
        <v>42600000</v>
      </c>
    </row>
    <row r="613" spans="2:4">
      <c r="B613" t="s">
        <v>343</v>
      </c>
      <c r="C613" s="61">
        <f>H589</f>
        <v>5213000</v>
      </c>
    </row>
    <row r="614" spans="2:4">
      <c r="B614" t="s">
        <v>3</v>
      </c>
      <c r="C614" s="61">
        <f>K589</f>
        <v>-353554642</v>
      </c>
    </row>
    <row r="615" spans="2:4">
      <c r="B615" t="s">
        <v>345</v>
      </c>
      <c r="C615" s="61">
        <f>SUM(C606:C614)</f>
        <v>37127619</v>
      </c>
    </row>
    <row r="618" spans="2:4">
      <c r="D618" s="61">
        <f>C590-C615</f>
        <v>0</v>
      </c>
    </row>
  </sheetData>
  <mergeCells count="3">
    <mergeCell ref="A602:B602"/>
    <mergeCell ref="A594:B594"/>
    <mergeCell ref="A592:G592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7"/>
  <sheetViews>
    <sheetView topLeftCell="B1" zoomScale="86" zoomScaleNormal="86" workbookViewId="0">
      <pane ySplit="1" topLeftCell="A2" activePane="bottomLeft" state="frozen"/>
      <selection pane="bottomLeft" activeCell="G192" sqref="G192"/>
    </sheetView>
  </sheetViews>
  <sheetFormatPr defaultRowHeight="15"/>
  <cols>
    <col min="1" max="1" width="6.42578125" customWidth="1"/>
    <col min="2" max="2" width="11.140625" customWidth="1"/>
    <col min="3" max="3" width="95" bestFit="1" customWidth="1"/>
    <col min="4" max="4" width="26" style="205" customWidth="1"/>
    <col min="5" max="5" width="17.28515625" style="117" customWidth="1"/>
    <col min="6" max="6" width="12.5703125" style="117" customWidth="1"/>
    <col min="7" max="7" width="14.7109375" style="117" customWidth="1"/>
    <col min="8" max="9" width="14.42578125" style="65" customWidth="1"/>
    <col min="10" max="10" width="14.7109375" style="117" bestFit="1" customWidth="1"/>
    <col min="11" max="12" width="15.42578125" style="117" customWidth="1"/>
    <col min="13" max="13" width="15.42578125" customWidth="1"/>
    <col min="14" max="14" width="14.42578125" customWidth="1"/>
  </cols>
  <sheetData>
    <row r="1" spans="1:13" s="34" customFormat="1">
      <c r="A1" s="187" t="s">
        <v>62</v>
      </c>
      <c r="B1" s="161" t="s">
        <v>38</v>
      </c>
      <c r="C1" s="180" t="s">
        <v>5</v>
      </c>
      <c r="D1" s="214" t="s">
        <v>6</v>
      </c>
      <c r="E1" s="385" t="s">
        <v>63</v>
      </c>
      <c r="F1" s="385" t="s">
        <v>119</v>
      </c>
      <c r="G1" s="385" t="s">
        <v>630</v>
      </c>
      <c r="H1" s="112" t="s">
        <v>120</v>
      </c>
      <c r="I1" s="385" t="s">
        <v>1</v>
      </c>
      <c r="J1" s="181" t="s">
        <v>121</v>
      </c>
      <c r="K1" s="385" t="s">
        <v>64</v>
      </c>
      <c r="L1" s="417" t="s">
        <v>1218</v>
      </c>
    </row>
    <row r="2" spans="1:13" s="65" customFormat="1">
      <c r="A2" s="156" t="s">
        <v>736</v>
      </c>
      <c r="B2" s="91">
        <v>45413</v>
      </c>
      <c r="C2" s="72" t="s">
        <v>871</v>
      </c>
      <c r="D2" s="59">
        <v>-65000</v>
      </c>
      <c r="E2" s="82"/>
      <c r="F2" s="82"/>
      <c r="G2" s="82"/>
      <c r="H2" s="395"/>
      <c r="I2" s="82"/>
      <c r="J2" s="82"/>
      <c r="K2" s="82">
        <f>D2</f>
        <v>-65000</v>
      </c>
      <c r="L2" s="138"/>
      <c r="M2" s="217"/>
    </row>
    <row r="3" spans="1:13" s="65" customFormat="1">
      <c r="A3" s="156" t="s">
        <v>737</v>
      </c>
      <c r="B3" s="91">
        <v>45413</v>
      </c>
      <c r="C3" s="287" t="s">
        <v>1189</v>
      </c>
      <c r="D3" s="59">
        <v>1500000</v>
      </c>
      <c r="E3" s="82"/>
      <c r="F3" s="82">
        <f>D3</f>
        <v>1500000</v>
      </c>
      <c r="G3" s="82"/>
      <c r="H3" s="395"/>
      <c r="I3" s="82"/>
      <c r="J3" s="82"/>
      <c r="K3" s="82"/>
      <c r="L3" s="138"/>
      <c r="M3" s="217">
        <f t="shared" ref="M3:M66" si="0">D3-E3-F3-G3-H3-I3-J3-K3</f>
        <v>0</v>
      </c>
    </row>
    <row r="4" spans="1:13" s="65" customFormat="1">
      <c r="A4" s="156" t="s">
        <v>738</v>
      </c>
      <c r="B4" s="91">
        <v>45414</v>
      </c>
      <c r="C4" s="72" t="s">
        <v>875</v>
      </c>
      <c r="D4" s="59">
        <v>3000000</v>
      </c>
      <c r="E4" s="82"/>
      <c r="F4" s="82"/>
      <c r="G4" s="82"/>
      <c r="H4" s="395"/>
      <c r="I4" s="82"/>
      <c r="J4" s="82">
        <f>D4</f>
        <v>3000000</v>
      </c>
      <c r="K4" s="82"/>
      <c r="L4" s="138"/>
      <c r="M4" s="217">
        <f t="shared" si="0"/>
        <v>0</v>
      </c>
    </row>
    <row r="5" spans="1:13" s="65" customFormat="1">
      <c r="A5" s="156" t="s">
        <v>739</v>
      </c>
      <c r="B5" s="91">
        <v>45414</v>
      </c>
      <c r="C5" s="72" t="s">
        <v>876</v>
      </c>
      <c r="D5" s="59">
        <v>-65000</v>
      </c>
      <c r="E5" s="82"/>
      <c r="F5" s="82"/>
      <c r="G5" s="82"/>
      <c r="H5" s="57"/>
      <c r="I5" s="82"/>
      <c r="J5" s="82"/>
      <c r="K5" s="82">
        <f>D5</f>
        <v>-65000</v>
      </c>
      <c r="L5" s="138"/>
      <c r="M5" s="217">
        <f t="shared" si="0"/>
        <v>0</v>
      </c>
    </row>
    <row r="6" spans="1:13" s="65" customFormat="1">
      <c r="A6" s="156" t="s">
        <v>740</v>
      </c>
      <c r="B6" s="91">
        <v>45414</v>
      </c>
      <c r="C6" s="287" t="s">
        <v>1195</v>
      </c>
      <c r="D6" s="59">
        <v>1000000</v>
      </c>
      <c r="E6" s="82"/>
      <c r="F6" s="82"/>
      <c r="G6" s="82"/>
      <c r="H6" s="395"/>
      <c r="I6" s="82"/>
      <c r="J6" s="82"/>
      <c r="K6" s="82"/>
      <c r="L6" s="138" t="s">
        <v>1216</v>
      </c>
      <c r="M6" s="217">
        <f t="shared" si="0"/>
        <v>1000000</v>
      </c>
    </row>
    <row r="7" spans="1:13" s="65" customFormat="1">
      <c r="A7" s="156" t="s">
        <v>741</v>
      </c>
      <c r="B7" s="91">
        <v>45414</v>
      </c>
      <c r="C7" s="287" t="s">
        <v>1196</v>
      </c>
      <c r="D7" s="59">
        <v>1000000</v>
      </c>
      <c r="E7" s="82"/>
      <c r="F7" s="82"/>
      <c r="G7" s="82"/>
      <c r="H7" s="395">
        <f>D7</f>
        <v>1000000</v>
      </c>
      <c r="I7" s="82"/>
      <c r="J7" s="82"/>
      <c r="K7" s="82"/>
      <c r="L7" s="138"/>
      <c r="M7" s="217">
        <f t="shared" si="0"/>
        <v>0</v>
      </c>
    </row>
    <row r="8" spans="1:13" s="65" customFormat="1">
      <c r="A8" s="156" t="s">
        <v>742</v>
      </c>
      <c r="B8" s="91">
        <v>45414</v>
      </c>
      <c r="C8" s="287" t="s">
        <v>1211</v>
      </c>
      <c r="D8" s="59">
        <v>1000000</v>
      </c>
      <c r="E8" s="82"/>
      <c r="F8" s="82"/>
      <c r="G8" s="82"/>
      <c r="H8" s="395">
        <f>D8</f>
        <v>1000000</v>
      </c>
      <c r="I8" s="82"/>
      <c r="J8" s="82"/>
      <c r="K8" s="82"/>
      <c r="L8" s="138"/>
      <c r="M8" s="217">
        <f t="shared" si="0"/>
        <v>0</v>
      </c>
    </row>
    <row r="9" spans="1:13" s="65" customFormat="1">
      <c r="A9" s="156" t="s">
        <v>743</v>
      </c>
      <c r="B9" s="354">
        <v>45415</v>
      </c>
      <c r="C9" s="72" t="s">
        <v>885</v>
      </c>
      <c r="D9" s="59">
        <v>2000000</v>
      </c>
      <c r="E9" s="82"/>
      <c r="F9" s="82"/>
      <c r="G9" s="82"/>
      <c r="H9" s="395"/>
      <c r="I9" s="82"/>
      <c r="J9" s="82">
        <f>D9</f>
        <v>2000000</v>
      </c>
      <c r="K9" s="82"/>
      <c r="L9" s="138"/>
      <c r="M9" s="217">
        <f t="shared" si="0"/>
        <v>0</v>
      </c>
    </row>
    <row r="10" spans="1:13" s="65" customFormat="1">
      <c r="A10" s="156" t="s">
        <v>744</v>
      </c>
      <c r="B10" s="354">
        <v>45415</v>
      </c>
      <c r="C10" s="287" t="s">
        <v>1198</v>
      </c>
      <c r="D10" s="59">
        <v>500000</v>
      </c>
      <c r="E10" s="82"/>
      <c r="F10" s="82"/>
      <c r="G10" s="82"/>
      <c r="H10" s="395">
        <f>D10</f>
        <v>500000</v>
      </c>
      <c r="I10" s="82"/>
      <c r="J10" s="82"/>
      <c r="K10" s="82"/>
      <c r="L10" s="138"/>
      <c r="M10" s="217">
        <f t="shared" si="0"/>
        <v>0</v>
      </c>
    </row>
    <row r="11" spans="1:13" s="65" customFormat="1">
      <c r="A11" s="156" t="s">
        <v>745</v>
      </c>
      <c r="B11" s="354">
        <v>45415</v>
      </c>
      <c r="C11" s="72" t="s">
        <v>887</v>
      </c>
      <c r="D11" s="59">
        <v>-65000</v>
      </c>
      <c r="E11" s="82"/>
      <c r="F11" s="82"/>
      <c r="G11" s="82"/>
      <c r="H11" s="57"/>
      <c r="I11" s="82"/>
      <c r="J11" s="82"/>
      <c r="K11" s="82">
        <f>D11</f>
        <v>-65000</v>
      </c>
      <c r="L11" s="138"/>
      <c r="M11" s="217">
        <f t="shared" si="0"/>
        <v>0</v>
      </c>
    </row>
    <row r="12" spans="1:13" s="65" customFormat="1">
      <c r="A12" s="156" t="s">
        <v>746</v>
      </c>
      <c r="B12" s="354">
        <v>45415</v>
      </c>
      <c r="C12" s="72" t="s">
        <v>889</v>
      </c>
      <c r="D12" s="59">
        <v>-304000</v>
      </c>
      <c r="E12" s="82"/>
      <c r="F12" s="82"/>
      <c r="G12" s="82"/>
      <c r="H12" s="395"/>
      <c r="I12" s="82"/>
      <c r="J12" s="82"/>
      <c r="K12" s="82">
        <f>D12</f>
        <v>-304000</v>
      </c>
      <c r="L12" s="138"/>
      <c r="M12" s="217">
        <f t="shared" si="0"/>
        <v>0</v>
      </c>
    </row>
    <row r="13" spans="1:13" s="65" customFormat="1">
      <c r="A13" s="156" t="s">
        <v>747</v>
      </c>
      <c r="B13" s="354">
        <v>45415</v>
      </c>
      <c r="C13" s="72" t="s">
        <v>890</v>
      </c>
      <c r="D13" s="59">
        <v>-2500000</v>
      </c>
      <c r="E13" s="82"/>
      <c r="F13" s="82"/>
      <c r="G13" s="82"/>
      <c r="H13" s="57"/>
      <c r="I13" s="82"/>
      <c r="J13" s="82"/>
      <c r="K13" s="82">
        <f>D13</f>
        <v>-2500000</v>
      </c>
      <c r="L13" s="138"/>
      <c r="M13" s="217">
        <f t="shared" si="0"/>
        <v>0</v>
      </c>
    </row>
    <row r="14" spans="1:13" s="65" customFormat="1">
      <c r="A14" s="156" t="s">
        <v>748</v>
      </c>
      <c r="B14" s="354">
        <v>45415</v>
      </c>
      <c r="C14" s="287" t="s">
        <v>1199</v>
      </c>
      <c r="D14" s="59">
        <v>14720000</v>
      </c>
      <c r="E14" s="82"/>
      <c r="F14" s="82"/>
      <c r="G14" s="82"/>
      <c r="H14" s="395"/>
      <c r="I14" s="82"/>
      <c r="J14" s="82"/>
      <c r="K14" s="82"/>
      <c r="L14" s="138" t="s">
        <v>1217</v>
      </c>
      <c r="M14" s="217">
        <f t="shared" si="0"/>
        <v>14720000</v>
      </c>
    </row>
    <row r="15" spans="1:13" s="65" customFormat="1">
      <c r="A15" s="156" t="s">
        <v>749</v>
      </c>
      <c r="B15" s="354">
        <v>45416</v>
      </c>
      <c r="C15" s="72" t="s">
        <v>893</v>
      </c>
      <c r="D15" s="59">
        <v>-300000</v>
      </c>
      <c r="E15" s="82"/>
      <c r="F15" s="82"/>
      <c r="G15" s="82"/>
      <c r="H15" s="57"/>
      <c r="I15" s="82"/>
      <c r="J15" s="82"/>
      <c r="K15" s="82">
        <f>D15</f>
        <v>-300000</v>
      </c>
      <c r="L15" s="138"/>
      <c r="M15" s="217">
        <f t="shared" si="0"/>
        <v>0</v>
      </c>
    </row>
    <row r="16" spans="1:13" s="65" customFormat="1">
      <c r="A16" s="156" t="s">
        <v>750</v>
      </c>
      <c r="B16" s="354">
        <v>45416</v>
      </c>
      <c r="C16" s="72" t="s">
        <v>894</v>
      </c>
      <c r="D16" s="59">
        <v>-200000</v>
      </c>
      <c r="E16" s="82"/>
      <c r="F16" s="82"/>
      <c r="G16" s="82"/>
      <c r="H16" s="395"/>
      <c r="I16" s="82"/>
      <c r="J16" s="82"/>
      <c r="K16" s="82">
        <f>D16</f>
        <v>-200000</v>
      </c>
      <c r="L16" s="138"/>
      <c r="M16" s="217">
        <f t="shared" si="0"/>
        <v>0</v>
      </c>
    </row>
    <row r="17" spans="1:13" s="65" customFormat="1">
      <c r="A17" s="156" t="s">
        <v>751</v>
      </c>
      <c r="B17" s="354">
        <v>45416</v>
      </c>
      <c r="C17" s="72" t="s">
        <v>895</v>
      </c>
      <c r="D17" s="93">
        <v>1500000</v>
      </c>
      <c r="E17" s="82"/>
      <c r="F17" s="82"/>
      <c r="G17" s="82"/>
      <c r="H17" s="395"/>
      <c r="I17" s="82"/>
      <c r="J17" s="82">
        <f>D17</f>
        <v>1500000</v>
      </c>
      <c r="K17" s="82"/>
      <c r="L17" s="138"/>
      <c r="M17" s="217">
        <f t="shared" si="0"/>
        <v>0</v>
      </c>
    </row>
    <row r="18" spans="1:13" s="65" customFormat="1">
      <c r="A18" s="156" t="s">
        <v>752</v>
      </c>
      <c r="B18" s="354">
        <v>45416</v>
      </c>
      <c r="C18" s="72" t="s">
        <v>899</v>
      </c>
      <c r="D18" s="93">
        <v>541000</v>
      </c>
      <c r="E18" s="82"/>
      <c r="F18" s="82"/>
      <c r="G18" s="82"/>
      <c r="H18" s="57"/>
      <c r="I18" s="82">
        <f>D18</f>
        <v>541000</v>
      </c>
      <c r="J18" s="82"/>
      <c r="K18" s="82"/>
      <c r="L18" s="138" t="s">
        <v>631</v>
      </c>
      <c r="M18" s="217">
        <f t="shared" si="0"/>
        <v>0</v>
      </c>
    </row>
    <row r="19" spans="1:13" s="65" customFormat="1">
      <c r="A19" s="156" t="s">
        <v>753</v>
      </c>
      <c r="B19" s="354">
        <v>45416</v>
      </c>
      <c r="C19" s="72" t="s">
        <v>900</v>
      </c>
      <c r="D19" s="93">
        <v>262000</v>
      </c>
      <c r="E19" s="82"/>
      <c r="F19" s="82"/>
      <c r="G19" s="82"/>
      <c r="H19" s="57"/>
      <c r="I19" s="82">
        <f>D19</f>
        <v>262000</v>
      </c>
      <c r="J19" s="82"/>
      <c r="K19" s="82"/>
      <c r="L19" s="138" t="s">
        <v>631</v>
      </c>
      <c r="M19" s="217">
        <f t="shared" si="0"/>
        <v>0</v>
      </c>
    </row>
    <row r="20" spans="1:13" s="65" customFormat="1">
      <c r="A20" s="156" t="s">
        <v>754</v>
      </c>
      <c r="B20" s="354">
        <v>45416</v>
      </c>
      <c r="C20" s="72" t="s">
        <v>897</v>
      </c>
      <c r="D20" s="93">
        <v>-65000</v>
      </c>
      <c r="E20" s="82"/>
      <c r="F20" s="82"/>
      <c r="G20" s="82"/>
      <c r="H20" s="57"/>
      <c r="I20" s="82"/>
      <c r="J20" s="82"/>
      <c r="K20" s="82">
        <f>D20</f>
        <v>-65000</v>
      </c>
      <c r="L20" s="138"/>
      <c r="M20" s="217">
        <f t="shared" si="0"/>
        <v>0</v>
      </c>
    </row>
    <row r="21" spans="1:13" s="65" customFormat="1">
      <c r="A21" s="156" t="s">
        <v>755</v>
      </c>
      <c r="B21" s="354">
        <v>45417</v>
      </c>
      <c r="C21" s="72" t="s">
        <v>905</v>
      </c>
      <c r="D21" s="93">
        <v>-80000</v>
      </c>
      <c r="E21" s="82"/>
      <c r="F21" s="82"/>
      <c r="G21" s="82"/>
      <c r="H21" s="57"/>
      <c r="I21" s="82"/>
      <c r="J21" s="82"/>
      <c r="K21" s="82">
        <f>D21</f>
        <v>-80000</v>
      </c>
      <c r="L21" s="138"/>
      <c r="M21" s="217">
        <f t="shared" si="0"/>
        <v>0</v>
      </c>
    </row>
    <row r="22" spans="1:13" s="65" customFormat="1">
      <c r="A22" s="156" t="s">
        <v>756</v>
      </c>
      <c r="B22" s="354">
        <v>45417</v>
      </c>
      <c r="C22" s="72" t="s">
        <v>906</v>
      </c>
      <c r="D22" s="93">
        <v>-75000</v>
      </c>
      <c r="E22" s="82"/>
      <c r="F22" s="82"/>
      <c r="G22" s="82"/>
      <c r="H22" s="57"/>
      <c r="I22" s="82"/>
      <c r="J22" s="82"/>
      <c r="K22" s="82">
        <f>D22</f>
        <v>-75000</v>
      </c>
      <c r="L22" s="138"/>
      <c r="M22" s="217">
        <f t="shared" si="0"/>
        <v>0</v>
      </c>
    </row>
    <row r="23" spans="1:13" s="65" customFormat="1">
      <c r="A23" s="156" t="s">
        <v>757</v>
      </c>
      <c r="B23" s="354">
        <v>45417</v>
      </c>
      <c r="C23" s="72" t="s">
        <v>907</v>
      </c>
      <c r="D23" s="93">
        <v>-65000</v>
      </c>
      <c r="E23" s="82"/>
      <c r="F23" s="82"/>
      <c r="G23" s="82"/>
      <c r="H23" s="57"/>
      <c r="I23" s="82"/>
      <c r="J23" s="82"/>
      <c r="K23" s="82">
        <f>D23</f>
        <v>-65000</v>
      </c>
      <c r="L23" s="138"/>
      <c r="M23" s="217">
        <f t="shared" si="0"/>
        <v>0</v>
      </c>
    </row>
    <row r="24" spans="1:13" s="65" customFormat="1">
      <c r="A24" s="156" t="s">
        <v>758</v>
      </c>
      <c r="B24" s="354">
        <v>45417</v>
      </c>
      <c r="C24" s="72" t="s">
        <v>908</v>
      </c>
      <c r="D24" s="93">
        <v>-65000</v>
      </c>
      <c r="E24" s="82"/>
      <c r="F24" s="82"/>
      <c r="G24" s="82"/>
      <c r="H24" s="57"/>
      <c r="I24" s="82"/>
      <c r="J24" s="82"/>
      <c r="K24" s="82">
        <f>D24</f>
        <v>-65000</v>
      </c>
      <c r="L24" s="138"/>
      <c r="M24" s="217">
        <f t="shared" si="0"/>
        <v>0</v>
      </c>
    </row>
    <row r="25" spans="1:13" s="65" customFormat="1">
      <c r="A25" s="156" t="s">
        <v>759</v>
      </c>
      <c r="B25" s="354">
        <v>45418</v>
      </c>
      <c r="C25" s="72" t="s">
        <v>910</v>
      </c>
      <c r="D25" s="93">
        <v>2800000</v>
      </c>
      <c r="E25" s="82"/>
      <c r="F25" s="82"/>
      <c r="G25" s="82"/>
      <c r="H25" s="395"/>
      <c r="I25" s="82"/>
      <c r="J25" s="82">
        <f>D25</f>
        <v>2800000</v>
      </c>
      <c r="K25" s="82"/>
      <c r="L25" s="138"/>
      <c r="M25" s="217">
        <f t="shared" si="0"/>
        <v>0</v>
      </c>
    </row>
    <row r="26" spans="1:13" s="65" customFormat="1">
      <c r="A26" s="156" t="s">
        <v>760</v>
      </c>
      <c r="B26" s="354">
        <v>45418</v>
      </c>
      <c r="C26" s="72" t="s">
        <v>912</v>
      </c>
      <c r="D26" s="93">
        <v>-65000</v>
      </c>
      <c r="E26" s="82"/>
      <c r="F26" s="82"/>
      <c r="G26" s="82"/>
      <c r="H26" s="395"/>
      <c r="I26" s="82"/>
      <c r="J26" s="82"/>
      <c r="K26" s="82">
        <f>D26</f>
        <v>-65000</v>
      </c>
      <c r="L26" s="138"/>
      <c r="M26" s="217">
        <f t="shared" si="0"/>
        <v>0</v>
      </c>
    </row>
    <row r="27" spans="1:13" s="65" customFormat="1">
      <c r="A27" s="156" t="s">
        <v>761</v>
      </c>
      <c r="B27" s="354">
        <v>45418</v>
      </c>
      <c r="C27" s="72" t="s">
        <v>917</v>
      </c>
      <c r="D27" s="93">
        <v>-7044757</v>
      </c>
      <c r="E27" s="82"/>
      <c r="F27" s="82"/>
      <c r="G27" s="82"/>
      <c r="H27" s="395"/>
      <c r="I27" s="82"/>
      <c r="J27" s="82"/>
      <c r="K27" s="82">
        <f>D27</f>
        <v>-7044757</v>
      </c>
      <c r="L27" s="138"/>
      <c r="M27" s="217">
        <f t="shared" si="0"/>
        <v>0</v>
      </c>
    </row>
    <row r="28" spans="1:13" s="65" customFormat="1">
      <c r="A28" s="156" t="s">
        <v>762</v>
      </c>
      <c r="B28" s="354">
        <v>45418</v>
      </c>
      <c r="C28" s="287" t="s">
        <v>1200</v>
      </c>
      <c r="D28" s="93">
        <v>1000000</v>
      </c>
      <c r="E28" s="82"/>
      <c r="F28" s="82"/>
      <c r="G28" s="82"/>
      <c r="H28" s="395">
        <f>D28</f>
        <v>1000000</v>
      </c>
      <c r="I28" s="82"/>
      <c r="J28" s="82"/>
      <c r="K28" s="82"/>
      <c r="L28" s="138"/>
      <c r="M28" s="217">
        <f t="shared" si="0"/>
        <v>0</v>
      </c>
    </row>
    <row r="29" spans="1:13" s="65" customFormat="1">
      <c r="A29" s="156" t="s">
        <v>763</v>
      </c>
      <c r="B29" s="354">
        <v>45419</v>
      </c>
      <c r="C29" s="72" t="s">
        <v>926</v>
      </c>
      <c r="D29" s="93">
        <v>2300000</v>
      </c>
      <c r="E29" s="82"/>
      <c r="F29" s="82"/>
      <c r="G29" s="82"/>
      <c r="H29" s="57"/>
      <c r="I29" s="82"/>
      <c r="J29" s="82">
        <f>D29</f>
        <v>2300000</v>
      </c>
      <c r="K29" s="82"/>
      <c r="L29" s="138"/>
      <c r="M29" s="217">
        <f t="shared" si="0"/>
        <v>0</v>
      </c>
    </row>
    <row r="30" spans="1:13" s="65" customFormat="1">
      <c r="A30" s="156" t="s">
        <v>764</v>
      </c>
      <c r="B30" s="354">
        <v>45419</v>
      </c>
      <c r="C30" s="72" t="s">
        <v>924</v>
      </c>
      <c r="D30" s="93">
        <v>-65000</v>
      </c>
      <c r="E30" s="82"/>
      <c r="F30" s="82"/>
      <c r="G30" s="399"/>
      <c r="H30" s="400"/>
      <c r="I30" s="82"/>
      <c r="J30" s="82"/>
      <c r="K30" s="82">
        <f>D30</f>
        <v>-65000</v>
      </c>
      <c r="L30" s="138"/>
      <c r="M30" s="217">
        <f t="shared" si="0"/>
        <v>0</v>
      </c>
    </row>
    <row r="31" spans="1:13" s="65" customFormat="1">
      <c r="A31" s="156" t="s">
        <v>765</v>
      </c>
      <c r="B31" s="354">
        <v>45419</v>
      </c>
      <c r="C31" s="287" t="s">
        <v>1190</v>
      </c>
      <c r="D31" s="93">
        <v>1000000</v>
      </c>
      <c r="E31" s="82"/>
      <c r="F31" s="82">
        <f>D31</f>
        <v>1000000</v>
      </c>
      <c r="G31" s="82"/>
      <c r="H31" s="395"/>
      <c r="I31" s="82"/>
      <c r="J31" s="82"/>
      <c r="K31" s="82"/>
      <c r="L31" s="138"/>
      <c r="M31" s="217">
        <f t="shared" si="0"/>
        <v>0</v>
      </c>
    </row>
    <row r="32" spans="1:13" s="65" customFormat="1">
      <c r="A32" s="156" t="s">
        <v>766</v>
      </c>
      <c r="B32" s="354">
        <v>45419</v>
      </c>
      <c r="C32" s="287" t="s">
        <v>1191</v>
      </c>
      <c r="D32" s="93">
        <v>500000</v>
      </c>
      <c r="E32" s="82"/>
      <c r="F32" s="82">
        <f>D32</f>
        <v>500000</v>
      </c>
      <c r="G32" s="82"/>
      <c r="H32" s="57"/>
      <c r="I32" s="82"/>
      <c r="J32" s="82"/>
      <c r="K32" s="82"/>
      <c r="L32" s="138"/>
      <c r="M32" s="217">
        <f t="shared" si="0"/>
        <v>0</v>
      </c>
    </row>
    <row r="33" spans="1:14" s="65" customFormat="1">
      <c r="A33" s="156" t="s">
        <v>767</v>
      </c>
      <c r="B33" s="354">
        <v>45419</v>
      </c>
      <c r="C33" s="72" t="s">
        <v>928</v>
      </c>
      <c r="D33" s="93">
        <v>-75000</v>
      </c>
      <c r="E33" s="82"/>
      <c r="F33" s="82"/>
      <c r="G33" s="82"/>
      <c r="H33" s="395"/>
      <c r="I33" s="82"/>
      <c r="J33" s="82"/>
      <c r="K33" s="82">
        <f t="shared" ref="K33:K38" si="1">D33</f>
        <v>-75000</v>
      </c>
      <c r="L33" s="138"/>
      <c r="M33" s="217">
        <f t="shared" si="0"/>
        <v>0</v>
      </c>
    </row>
    <row r="34" spans="1:14" s="65" customFormat="1">
      <c r="A34" s="156" t="s">
        <v>768</v>
      </c>
      <c r="B34" s="354">
        <v>45419</v>
      </c>
      <c r="C34" s="72" t="s">
        <v>929</v>
      </c>
      <c r="D34" s="93">
        <v>-2250000</v>
      </c>
      <c r="E34" s="82"/>
      <c r="F34" s="82"/>
      <c r="G34" s="82"/>
      <c r="H34" s="395"/>
      <c r="I34" s="82"/>
      <c r="J34" s="82"/>
      <c r="K34" s="82">
        <f t="shared" si="1"/>
        <v>-2250000</v>
      </c>
      <c r="L34" s="138"/>
      <c r="M34" s="217">
        <f t="shared" si="0"/>
        <v>0</v>
      </c>
      <c r="N34" s="217"/>
    </row>
    <row r="35" spans="1:14" s="65" customFormat="1">
      <c r="A35" s="156" t="s">
        <v>769</v>
      </c>
      <c r="B35" s="354">
        <v>45419</v>
      </c>
      <c r="C35" s="72" t="s">
        <v>933</v>
      </c>
      <c r="D35" s="93">
        <v>-65000</v>
      </c>
      <c r="E35" s="82"/>
      <c r="F35" s="82"/>
      <c r="G35" s="401"/>
      <c r="H35" s="57"/>
      <c r="I35" s="82"/>
      <c r="J35" s="82"/>
      <c r="K35" s="82">
        <f t="shared" si="1"/>
        <v>-65000</v>
      </c>
      <c r="L35" s="138"/>
      <c r="M35" s="217">
        <f t="shared" si="0"/>
        <v>0</v>
      </c>
    </row>
    <row r="36" spans="1:14" s="65" customFormat="1">
      <c r="A36" s="156" t="s">
        <v>770</v>
      </c>
      <c r="B36" s="354">
        <v>45420</v>
      </c>
      <c r="C36" s="72" t="s">
        <v>938</v>
      </c>
      <c r="D36" s="93">
        <v>-65000</v>
      </c>
      <c r="E36" s="82"/>
      <c r="F36" s="82"/>
      <c r="G36" s="82"/>
      <c r="H36" s="57"/>
      <c r="I36" s="82"/>
      <c r="J36" s="82"/>
      <c r="K36" s="82">
        <f t="shared" si="1"/>
        <v>-65000</v>
      </c>
      <c r="L36" s="138"/>
      <c r="M36" s="217">
        <f t="shared" si="0"/>
        <v>0</v>
      </c>
    </row>
    <row r="37" spans="1:14" s="65" customFormat="1">
      <c r="A37" s="156" t="s">
        <v>771</v>
      </c>
      <c r="B37" s="354">
        <v>45420</v>
      </c>
      <c r="C37" s="72" t="s">
        <v>935</v>
      </c>
      <c r="D37" s="93">
        <v>-420000</v>
      </c>
      <c r="E37" s="82"/>
      <c r="F37" s="82"/>
      <c r="G37" s="82"/>
      <c r="H37" s="57"/>
      <c r="I37" s="82"/>
      <c r="J37" s="82"/>
      <c r="K37" s="82">
        <f t="shared" si="1"/>
        <v>-420000</v>
      </c>
      <c r="L37" s="138"/>
      <c r="M37" s="217">
        <f t="shared" si="0"/>
        <v>0</v>
      </c>
    </row>
    <row r="38" spans="1:14" s="65" customFormat="1">
      <c r="A38" s="156" t="s">
        <v>772</v>
      </c>
      <c r="B38" s="354">
        <v>45420</v>
      </c>
      <c r="C38" s="72" t="s">
        <v>936</v>
      </c>
      <c r="D38" s="93">
        <v>-200000</v>
      </c>
      <c r="E38" s="82"/>
      <c r="F38" s="82"/>
      <c r="G38" s="82"/>
      <c r="H38" s="395"/>
      <c r="I38" s="82"/>
      <c r="J38" s="82"/>
      <c r="K38" s="82">
        <f t="shared" si="1"/>
        <v>-200000</v>
      </c>
      <c r="L38" s="138"/>
      <c r="M38" s="217">
        <f t="shared" si="0"/>
        <v>0</v>
      </c>
    </row>
    <row r="39" spans="1:14" s="65" customFormat="1">
      <c r="A39" s="156" t="s">
        <v>773</v>
      </c>
      <c r="B39" s="354">
        <v>45420</v>
      </c>
      <c r="C39" s="72" t="s">
        <v>937</v>
      </c>
      <c r="D39" s="93">
        <v>1000000</v>
      </c>
      <c r="E39" s="82"/>
      <c r="F39" s="82"/>
      <c r="G39" s="395"/>
      <c r="I39" s="82"/>
      <c r="J39" s="82">
        <f>D39</f>
        <v>1000000</v>
      </c>
      <c r="K39" s="82"/>
      <c r="L39" s="138"/>
      <c r="M39" s="217">
        <f t="shared" si="0"/>
        <v>0</v>
      </c>
    </row>
    <row r="40" spans="1:14" s="65" customFormat="1">
      <c r="A40" s="156" t="s">
        <v>774</v>
      </c>
      <c r="B40" s="354">
        <v>45420</v>
      </c>
      <c r="C40" s="72" t="s">
        <v>939</v>
      </c>
      <c r="D40" s="93">
        <v>-2120000</v>
      </c>
      <c r="E40" s="82"/>
      <c r="F40" s="82"/>
      <c r="G40" s="82"/>
      <c r="H40" s="57"/>
      <c r="I40" s="82"/>
      <c r="J40" s="82"/>
      <c r="K40" s="82">
        <f>D40</f>
        <v>-2120000</v>
      </c>
      <c r="L40" s="138"/>
      <c r="M40" s="217">
        <f t="shared" si="0"/>
        <v>0</v>
      </c>
    </row>
    <row r="41" spans="1:14" s="65" customFormat="1">
      <c r="A41" s="156" t="s">
        <v>775</v>
      </c>
      <c r="B41" s="354">
        <v>45420</v>
      </c>
      <c r="C41" s="72" t="s">
        <v>942</v>
      </c>
      <c r="D41" s="93"/>
      <c r="E41" s="82"/>
      <c r="F41" s="82"/>
      <c r="G41" s="82"/>
      <c r="H41" s="57"/>
      <c r="I41" s="82"/>
      <c r="J41" s="82"/>
      <c r="K41" s="82"/>
      <c r="L41" s="138"/>
      <c r="M41" s="217">
        <f t="shared" si="0"/>
        <v>0</v>
      </c>
    </row>
    <row r="42" spans="1:14" s="65" customFormat="1">
      <c r="A42" s="156" t="s">
        <v>776</v>
      </c>
      <c r="B42" s="354">
        <v>45420</v>
      </c>
      <c r="C42" s="287" t="s">
        <v>1201</v>
      </c>
      <c r="D42" s="93">
        <v>2000000</v>
      </c>
      <c r="E42" s="82"/>
      <c r="F42" s="82"/>
      <c r="G42" s="82"/>
      <c r="H42" s="395">
        <f>D42</f>
        <v>2000000</v>
      </c>
      <c r="I42" s="82"/>
      <c r="J42" s="82"/>
      <c r="K42" s="82"/>
      <c r="L42" s="138"/>
      <c r="M42" s="217">
        <f t="shared" si="0"/>
        <v>0</v>
      </c>
    </row>
    <row r="43" spans="1:14" s="65" customFormat="1">
      <c r="A43" s="156" t="s">
        <v>777</v>
      </c>
      <c r="B43" s="354">
        <v>45420</v>
      </c>
      <c r="C43" s="287" t="s">
        <v>1202</v>
      </c>
      <c r="D43" s="93">
        <v>2000000</v>
      </c>
      <c r="E43" s="57"/>
      <c r="F43" s="57"/>
      <c r="G43" s="57"/>
      <c r="H43" s="395">
        <f>D43</f>
        <v>2000000</v>
      </c>
      <c r="I43" s="57"/>
      <c r="J43" s="57"/>
      <c r="K43" s="57"/>
      <c r="L43" s="360"/>
      <c r="M43" s="217">
        <f t="shared" si="0"/>
        <v>0</v>
      </c>
    </row>
    <row r="44" spans="1:14" s="65" customFormat="1">
      <c r="A44" s="156" t="s">
        <v>778</v>
      </c>
      <c r="B44" s="354">
        <v>45420</v>
      </c>
      <c r="C44" s="72" t="s">
        <v>950</v>
      </c>
      <c r="D44" s="93">
        <v>-75000</v>
      </c>
      <c r="E44" s="138"/>
      <c r="F44" s="138"/>
      <c r="G44" s="138"/>
      <c r="H44" s="402"/>
      <c r="I44" s="138"/>
      <c r="J44" s="138"/>
      <c r="K44" s="266">
        <f t="shared" ref="K44:K52" si="2">D44</f>
        <v>-75000</v>
      </c>
      <c r="L44" s="138"/>
      <c r="M44" s="217">
        <f t="shared" si="0"/>
        <v>0</v>
      </c>
    </row>
    <row r="45" spans="1:14" s="65" customFormat="1">
      <c r="A45" s="156" t="s">
        <v>779</v>
      </c>
      <c r="B45" s="354">
        <v>45420</v>
      </c>
      <c r="C45" s="72" t="s">
        <v>949</v>
      </c>
      <c r="D45" s="93">
        <v>-75000</v>
      </c>
      <c r="E45" s="138"/>
      <c r="F45" s="138"/>
      <c r="G45" s="138"/>
      <c r="H45" s="138"/>
      <c r="I45" s="138"/>
      <c r="J45" s="138"/>
      <c r="K45" s="266">
        <f t="shared" si="2"/>
        <v>-75000</v>
      </c>
      <c r="L45" s="138"/>
      <c r="M45" s="217">
        <f t="shared" si="0"/>
        <v>0</v>
      </c>
    </row>
    <row r="46" spans="1:14" s="65" customFormat="1">
      <c r="A46" s="156" t="s">
        <v>780</v>
      </c>
      <c r="B46" s="354">
        <v>45420</v>
      </c>
      <c r="C46" s="72" t="s">
        <v>952</v>
      </c>
      <c r="D46" s="93">
        <v>-80000</v>
      </c>
      <c r="E46" s="266"/>
      <c r="F46" s="138"/>
      <c r="G46" s="138"/>
      <c r="H46" s="138"/>
      <c r="I46" s="138"/>
      <c r="J46" s="266"/>
      <c r="K46" s="266">
        <f t="shared" si="2"/>
        <v>-80000</v>
      </c>
      <c r="L46" s="138"/>
      <c r="M46" s="217">
        <f t="shared" si="0"/>
        <v>0</v>
      </c>
    </row>
    <row r="47" spans="1:14" s="65" customFormat="1">
      <c r="A47" s="156" t="s">
        <v>781</v>
      </c>
      <c r="B47" s="354">
        <v>45420</v>
      </c>
      <c r="C47" s="72" t="s">
        <v>954</v>
      </c>
      <c r="D47" s="93">
        <v>-65000</v>
      </c>
      <c r="E47" s="82"/>
      <c r="F47" s="82"/>
      <c r="G47" s="82"/>
      <c r="H47" s="395"/>
      <c r="I47" s="82"/>
      <c r="J47" s="82"/>
      <c r="K47" s="266">
        <f t="shared" si="2"/>
        <v>-65000</v>
      </c>
      <c r="L47" s="138"/>
      <c r="M47" s="217">
        <f t="shared" si="0"/>
        <v>0</v>
      </c>
    </row>
    <row r="48" spans="1:14" s="65" customFormat="1">
      <c r="A48" s="156" t="s">
        <v>782</v>
      </c>
      <c r="B48" s="354">
        <v>45421</v>
      </c>
      <c r="C48" s="72" t="s">
        <v>955</v>
      </c>
      <c r="D48" s="93">
        <v>-140000</v>
      </c>
      <c r="E48" s="82"/>
      <c r="F48" s="82"/>
      <c r="G48" s="82"/>
      <c r="H48" s="57"/>
      <c r="I48" s="82"/>
      <c r="J48" s="82"/>
      <c r="K48" s="266">
        <f t="shared" si="2"/>
        <v>-140000</v>
      </c>
      <c r="L48" s="138"/>
      <c r="M48" s="217">
        <f t="shared" si="0"/>
        <v>0</v>
      </c>
    </row>
    <row r="49" spans="1:13" s="65" customFormat="1">
      <c r="A49" s="156" t="s">
        <v>783</v>
      </c>
      <c r="B49" s="354">
        <v>45421</v>
      </c>
      <c r="C49" s="72" t="s">
        <v>957</v>
      </c>
      <c r="D49" s="93">
        <v>-80000</v>
      </c>
      <c r="E49" s="57"/>
      <c r="F49" s="57"/>
      <c r="G49" s="57"/>
      <c r="H49" s="57"/>
      <c r="I49" s="57"/>
      <c r="J49" s="57"/>
      <c r="K49" s="266">
        <f t="shared" si="2"/>
        <v>-80000</v>
      </c>
      <c r="L49" s="138"/>
      <c r="M49" s="217">
        <f t="shared" si="0"/>
        <v>0</v>
      </c>
    </row>
    <row r="50" spans="1:13" s="65" customFormat="1">
      <c r="A50" s="156" t="s">
        <v>784</v>
      </c>
      <c r="B50" s="354">
        <v>45421</v>
      </c>
      <c r="C50" s="72" t="s">
        <v>958</v>
      </c>
      <c r="D50" s="93">
        <v>-220000</v>
      </c>
      <c r="E50" s="82"/>
      <c r="F50" s="82"/>
      <c r="G50" s="82"/>
      <c r="H50" s="57"/>
      <c r="I50" s="82"/>
      <c r="J50" s="82"/>
      <c r="K50" s="266">
        <f t="shared" si="2"/>
        <v>-220000</v>
      </c>
      <c r="L50" s="138"/>
      <c r="M50" s="217">
        <f t="shared" si="0"/>
        <v>0</v>
      </c>
    </row>
    <row r="51" spans="1:13" s="65" customFormat="1">
      <c r="A51" s="156" t="s">
        <v>785</v>
      </c>
      <c r="B51" s="354">
        <v>45421</v>
      </c>
      <c r="C51" s="72" t="s">
        <v>961</v>
      </c>
      <c r="D51" s="93">
        <v>-97500</v>
      </c>
      <c r="E51" s="82"/>
      <c r="F51" s="82"/>
      <c r="G51" s="82"/>
      <c r="H51" s="57"/>
      <c r="I51" s="82"/>
      <c r="J51" s="82"/>
      <c r="K51" s="266">
        <f t="shared" si="2"/>
        <v>-97500</v>
      </c>
      <c r="L51" s="138"/>
      <c r="M51" s="217">
        <f t="shared" si="0"/>
        <v>0</v>
      </c>
    </row>
    <row r="52" spans="1:13" s="65" customFormat="1">
      <c r="A52" s="156" t="s">
        <v>786</v>
      </c>
      <c r="B52" s="354">
        <v>45421</v>
      </c>
      <c r="C52" s="72" t="s">
        <v>962</v>
      </c>
      <c r="D52" s="93">
        <v>-75000</v>
      </c>
      <c r="E52" s="82"/>
      <c r="F52" s="82"/>
      <c r="G52" s="82"/>
      <c r="H52" s="395"/>
      <c r="I52" s="82"/>
      <c r="J52" s="82"/>
      <c r="K52" s="266">
        <f t="shared" si="2"/>
        <v>-75000</v>
      </c>
      <c r="L52" s="138"/>
      <c r="M52" s="217">
        <f t="shared" si="0"/>
        <v>0</v>
      </c>
    </row>
    <row r="53" spans="1:13" s="65" customFormat="1">
      <c r="A53" s="156" t="s">
        <v>787</v>
      </c>
      <c r="B53" s="354">
        <v>45421</v>
      </c>
      <c r="C53" s="287" t="s">
        <v>1203</v>
      </c>
      <c r="D53" s="93">
        <v>1000000</v>
      </c>
      <c r="E53" s="82"/>
      <c r="F53" s="82"/>
      <c r="G53" s="82"/>
      <c r="H53" s="395">
        <f>D53</f>
        <v>1000000</v>
      </c>
      <c r="I53" s="82"/>
      <c r="J53" s="82"/>
      <c r="K53" s="82"/>
      <c r="L53" s="138"/>
      <c r="M53" s="217">
        <f t="shared" si="0"/>
        <v>0</v>
      </c>
    </row>
    <row r="54" spans="1:13" s="65" customFormat="1">
      <c r="A54" s="156" t="s">
        <v>788</v>
      </c>
      <c r="B54" s="354">
        <v>45421</v>
      </c>
      <c r="C54" s="287" t="s">
        <v>1204</v>
      </c>
      <c r="D54" s="93">
        <v>500000</v>
      </c>
      <c r="E54" s="82"/>
      <c r="F54" s="82"/>
      <c r="G54" s="82"/>
      <c r="H54" s="395">
        <f>D54</f>
        <v>500000</v>
      </c>
      <c r="I54" s="82"/>
      <c r="J54" s="82"/>
      <c r="K54" s="82"/>
      <c r="L54" s="138"/>
      <c r="M54" s="217">
        <f t="shared" si="0"/>
        <v>0</v>
      </c>
    </row>
    <row r="55" spans="1:13" s="65" customFormat="1">
      <c r="A55" s="156" t="s">
        <v>789</v>
      </c>
      <c r="B55" s="354">
        <v>45421</v>
      </c>
      <c r="C55" s="287" t="s">
        <v>1205</v>
      </c>
      <c r="D55" s="93">
        <v>500000</v>
      </c>
      <c r="E55" s="82"/>
      <c r="F55" s="82"/>
      <c r="G55" s="82"/>
      <c r="H55" s="395">
        <f>D55</f>
        <v>500000</v>
      </c>
      <c r="I55" s="82"/>
      <c r="J55" s="82"/>
      <c r="K55" s="82"/>
      <c r="L55" s="138"/>
      <c r="M55" s="217">
        <f t="shared" si="0"/>
        <v>0</v>
      </c>
    </row>
    <row r="56" spans="1:13" s="65" customFormat="1">
      <c r="A56" s="156" t="s">
        <v>790</v>
      </c>
      <c r="B56" s="366">
        <v>45422</v>
      </c>
      <c r="C56" s="72" t="s">
        <v>967</v>
      </c>
      <c r="D56" s="93">
        <v>-100000</v>
      </c>
      <c r="E56" s="82"/>
      <c r="F56" s="82"/>
      <c r="G56" s="82"/>
      <c r="H56" s="57"/>
      <c r="I56" s="82"/>
      <c r="J56" s="82"/>
      <c r="K56" s="82">
        <f>D56</f>
        <v>-100000</v>
      </c>
      <c r="L56" s="138"/>
      <c r="M56" s="217">
        <f t="shared" si="0"/>
        <v>0</v>
      </c>
    </row>
    <row r="57" spans="1:13" s="65" customFormat="1">
      <c r="A57" s="156" t="s">
        <v>791</v>
      </c>
      <c r="B57" s="366">
        <v>45422</v>
      </c>
      <c r="C57" s="72" t="s">
        <v>968</v>
      </c>
      <c r="D57" s="93">
        <v>3000000</v>
      </c>
      <c r="E57" s="82"/>
      <c r="F57" s="82"/>
      <c r="G57" s="82"/>
      <c r="H57" s="57"/>
      <c r="I57" s="82"/>
      <c r="J57" s="82">
        <f>D57</f>
        <v>3000000</v>
      </c>
      <c r="K57" s="82"/>
      <c r="L57" s="138"/>
      <c r="M57" s="217">
        <f t="shared" si="0"/>
        <v>0</v>
      </c>
    </row>
    <row r="58" spans="1:13" s="65" customFormat="1">
      <c r="A58" s="156" t="s">
        <v>792</v>
      </c>
      <c r="B58" s="366">
        <v>45422</v>
      </c>
      <c r="C58" s="72" t="s">
        <v>969</v>
      </c>
      <c r="D58" s="93">
        <v>-65000</v>
      </c>
      <c r="E58" s="82"/>
      <c r="F58" s="82"/>
      <c r="G58" s="82"/>
      <c r="H58" s="57"/>
      <c r="I58" s="82"/>
      <c r="J58" s="82"/>
      <c r="K58" s="82">
        <f>D58</f>
        <v>-65000</v>
      </c>
      <c r="L58" s="138"/>
      <c r="M58" s="217">
        <f t="shared" si="0"/>
        <v>0</v>
      </c>
    </row>
    <row r="59" spans="1:13" s="65" customFormat="1">
      <c r="A59" s="156" t="s">
        <v>793</v>
      </c>
      <c r="B59" s="366">
        <v>45422</v>
      </c>
      <c r="C59" s="72" t="s">
        <v>977</v>
      </c>
      <c r="D59" s="93">
        <v>-80000</v>
      </c>
      <c r="E59" s="82"/>
      <c r="F59" s="82"/>
      <c r="G59" s="82"/>
      <c r="H59" s="395"/>
      <c r="I59" s="82"/>
      <c r="J59" s="82"/>
      <c r="K59" s="82">
        <f>D59</f>
        <v>-80000</v>
      </c>
      <c r="L59" s="138"/>
      <c r="M59" s="217">
        <f t="shared" si="0"/>
        <v>0</v>
      </c>
    </row>
    <row r="60" spans="1:13" s="65" customFormat="1">
      <c r="A60" s="156" t="s">
        <v>794</v>
      </c>
      <c r="B60" s="366">
        <v>45422</v>
      </c>
      <c r="C60" s="72" t="s">
        <v>979</v>
      </c>
      <c r="D60" s="93">
        <v>-65000</v>
      </c>
      <c r="E60" s="82"/>
      <c r="F60" s="82"/>
      <c r="G60" s="82"/>
      <c r="H60" s="57"/>
      <c r="I60" s="82"/>
      <c r="J60" s="82"/>
      <c r="K60" s="82">
        <f>D60</f>
        <v>-65000</v>
      </c>
      <c r="L60" s="138"/>
      <c r="M60" s="217">
        <f t="shared" si="0"/>
        <v>0</v>
      </c>
    </row>
    <row r="61" spans="1:13" s="65" customFormat="1">
      <c r="A61" s="156" t="s">
        <v>795</v>
      </c>
      <c r="B61" s="366">
        <v>45422</v>
      </c>
      <c r="C61" s="72" t="s">
        <v>983</v>
      </c>
      <c r="D61" s="93">
        <v>-80000</v>
      </c>
      <c r="E61" s="82"/>
      <c r="F61" s="82"/>
      <c r="G61" s="82"/>
      <c r="H61" s="395"/>
      <c r="I61" s="82"/>
      <c r="J61" s="82"/>
      <c r="K61" s="82">
        <f>D61</f>
        <v>-80000</v>
      </c>
      <c r="L61" s="138"/>
      <c r="M61" s="217">
        <f t="shared" si="0"/>
        <v>0</v>
      </c>
    </row>
    <row r="62" spans="1:13" s="65" customFormat="1">
      <c r="A62" s="156" t="s">
        <v>796</v>
      </c>
      <c r="B62" s="91">
        <v>45422</v>
      </c>
      <c r="C62" s="287" t="s">
        <v>1206</v>
      </c>
      <c r="D62" s="93">
        <v>1000000</v>
      </c>
      <c r="E62" s="82"/>
      <c r="F62" s="82"/>
      <c r="G62" s="82"/>
      <c r="H62" s="395">
        <f>D62</f>
        <v>1000000</v>
      </c>
      <c r="I62" s="82"/>
      <c r="J62" s="82"/>
      <c r="K62" s="82"/>
      <c r="L62" s="138"/>
      <c r="M62" s="217">
        <f t="shared" si="0"/>
        <v>0</v>
      </c>
    </row>
    <row r="63" spans="1:13" s="65" customFormat="1">
      <c r="A63" s="156" t="s">
        <v>797</v>
      </c>
      <c r="B63" s="366">
        <v>45423</v>
      </c>
      <c r="C63" s="287" t="s">
        <v>1192</v>
      </c>
      <c r="D63" s="93">
        <v>500000</v>
      </c>
      <c r="E63" s="82"/>
      <c r="F63" s="82">
        <f>D63</f>
        <v>500000</v>
      </c>
      <c r="G63" s="82"/>
      <c r="H63" s="395"/>
      <c r="I63" s="82"/>
      <c r="J63" s="82"/>
      <c r="K63" s="82"/>
      <c r="L63" s="138"/>
      <c r="M63" s="217">
        <f t="shared" si="0"/>
        <v>0</v>
      </c>
    </row>
    <row r="64" spans="1:13" s="65" customFormat="1">
      <c r="A64" s="156" t="s">
        <v>798</v>
      </c>
      <c r="B64" s="366">
        <v>45423</v>
      </c>
      <c r="C64" s="72" t="s">
        <v>986</v>
      </c>
      <c r="D64" s="93">
        <v>2000000</v>
      </c>
      <c r="E64" s="82"/>
      <c r="F64" s="82"/>
      <c r="G64" s="82"/>
      <c r="H64" s="395"/>
      <c r="I64" s="82"/>
      <c r="J64" s="82">
        <f>D64</f>
        <v>2000000</v>
      </c>
      <c r="K64" s="82"/>
      <c r="L64" s="138"/>
      <c r="M64" s="217">
        <f t="shared" si="0"/>
        <v>0</v>
      </c>
    </row>
    <row r="65" spans="1:13" s="65" customFormat="1">
      <c r="A65" s="156" t="s">
        <v>799</v>
      </c>
      <c r="B65" s="366">
        <v>45423</v>
      </c>
      <c r="C65" s="72" t="s">
        <v>989</v>
      </c>
      <c r="D65" s="93">
        <v>-65000</v>
      </c>
      <c r="E65" s="82"/>
      <c r="F65" s="82"/>
      <c r="G65" s="82"/>
      <c r="H65" s="395"/>
      <c r="I65" s="82"/>
      <c r="J65" s="82"/>
      <c r="K65" s="82">
        <f>D65</f>
        <v>-65000</v>
      </c>
      <c r="L65" s="138"/>
      <c r="M65" s="217">
        <f t="shared" si="0"/>
        <v>0</v>
      </c>
    </row>
    <row r="66" spans="1:13" s="65" customFormat="1">
      <c r="A66" s="156" t="s">
        <v>800</v>
      </c>
      <c r="B66" s="366">
        <v>45423</v>
      </c>
      <c r="C66" s="72" t="s">
        <v>993</v>
      </c>
      <c r="D66" s="93">
        <v>-75000</v>
      </c>
      <c r="E66" s="82"/>
      <c r="F66" s="82"/>
      <c r="G66" s="82"/>
      <c r="H66" s="395"/>
      <c r="I66" s="82"/>
      <c r="J66" s="82"/>
      <c r="K66" s="82">
        <f>D66</f>
        <v>-75000</v>
      </c>
      <c r="L66" s="138"/>
      <c r="M66" s="217">
        <f t="shared" si="0"/>
        <v>0</v>
      </c>
    </row>
    <row r="67" spans="1:13" s="65" customFormat="1">
      <c r="A67" s="156" t="s">
        <v>801</v>
      </c>
      <c r="B67" s="366">
        <v>45423</v>
      </c>
      <c r="C67" s="287" t="s">
        <v>1193</v>
      </c>
      <c r="D67" s="93">
        <v>3000000</v>
      </c>
      <c r="E67" s="82"/>
      <c r="F67" s="82">
        <f>D67</f>
        <v>3000000</v>
      </c>
      <c r="G67" s="82"/>
      <c r="H67" s="395"/>
      <c r="I67" s="82"/>
      <c r="J67" s="82"/>
      <c r="K67" s="82"/>
      <c r="L67" s="138"/>
      <c r="M67" s="217">
        <f t="shared" ref="M67:M130" si="3">D67-E67-F67-G67-H67-I67-J67-K67</f>
        <v>0</v>
      </c>
    </row>
    <row r="68" spans="1:13" s="65" customFormat="1">
      <c r="A68" s="156" t="s">
        <v>802</v>
      </c>
      <c r="B68" s="366">
        <v>45423</v>
      </c>
      <c r="C68" s="72" t="s">
        <v>996</v>
      </c>
      <c r="D68" s="93">
        <v>-65000</v>
      </c>
      <c r="E68" s="82"/>
      <c r="F68" s="82"/>
      <c r="G68" s="82"/>
      <c r="H68" s="57"/>
      <c r="I68" s="82"/>
      <c r="J68" s="82"/>
      <c r="K68" s="82">
        <f t="shared" ref="K68:K73" si="4">D68</f>
        <v>-65000</v>
      </c>
      <c r="L68" s="138"/>
      <c r="M68" s="217">
        <f t="shared" si="3"/>
        <v>0</v>
      </c>
    </row>
    <row r="69" spans="1:13" s="65" customFormat="1">
      <c r="A69" s="156" t="s">
        <v>803</v>
      </c>
      <c r="B69" s="366">
        <v>45423</v>
      </c>
      <c r="C69" s="72" t="s">
        <v>997</v>
      </c>
      <c r="D69" s="93">
        <v>-65000</v>
      </c>
      <c r="E69" s="82"/>
      <c r="F69" s="82"/>
      <c r="G69" s="82"/>
      <c r="H69" s="57"/>
      <c r="I69" s="82"/>
      <c r="J69" s="82"/>
      <c r="K69" s="82">
        <f t="shared" si="4"/>
        <v>-65000</v>
      </c>
      <c r="L69" s="138"/>
      <c r="M69" s="217">
        <f t="shared" si="3"/>
        <v>0</v>
      </c>
    </row>
    <row r="70" spans="1:13" s="65" customFormat="1">
      <c r="A70" s="156" t="s">
        <v>804</v>
      </c>
      <c r="B70" s="366">
        <v>45423</v>
      </c>
      <c r="C70" s="72" t="s">
        <v>998</v>
      </c>
      <c r="D70" s="93">
        <v>-160000</v>
      </c>
      <c r="E70" s="82"/>
      <c r="F70" s="82"/>
      <c r="G70" s="82"/>
      <c r="H70" s="57"/>
      <c r="I70" s="82"/>
      <c r="J70" s="82"/>
      <c r="K70" s="82">
        <f t="shared" si="4"/>
        <v>-160000</v>
      </c>
      <c r="L70" s="138"/>
      <c r="M70" s="217">
        <f t="shared" si="3"/>
        <v>0</v>
      </c>
    </row>
    <row r="71" spans="1:13" s="65" customFormat="1">
      <c r="A71" s="156" t="s">
        <v>805</v>
      </c>
      <c r="B71" s="91">
        <v>45424</v>
      </c>
      <c r="C71" s="72" t="s">
        <v>1000</v>
      </c>
      <c r="D71" s="93">
        <v>-65000</v>
      </c>
      <c r="E71" s="82"/>
      <c r="F71" s="82"/>
      <c r="G71" s="82"/>
      <c r="H71" s="57"/>
      <c r="I71" s="82"/>
      <c r="J71" s="82"/>
      <c r="K71" s="82">
        <f t="shared" si="4"/>
        <v>-65000</v>
      </c>
      <c r="L71" s="138"/>
      <c r="M71" s="217">
        <f t="shared" si="3"/>
        <v>0</v>
      </c>
    </row>
    <row r="72" spans="1:13" s="65" customFormat="1">
      <c r="A72" s="156" t="s">
        <v>806</v>
      </c>
      <c r="B72" s="91">
        <v>45424</v>
      </c>
      <c r="C72" s="72" t="s">
        <v>1001</v>
      </c>
      <c r="D72" s="93">
        <v>-180000</v>
      </c>
      <c r="E72" s="82"/>
      <c r="F72" s="82"/>
      <c r="G72" s="82"/>
      <c r="H72" s="395"/>
      <c r="I72" s="82"/>
      <c r="J72" s="82"/>
      <c r="K72" s="82">
        <f t="shared" si="4"/>
        <v>-180000</v>
      </c>
      <c r="L72" s="138"/>
      <c r="M72" s="217">
        <f t="shared" si="3"/>
        <v>0</v>
      </c>
    </row>
    <row r="73" spans="1:13" s="65" customFormat="1">
      <c r="A73" s="156" t="s">
        <v>807</v>
      </c>
      <c r="B73" s="91">
        <v>45424</v>
      </c>
      <c r="C73" s="72" t="s">
        <v>1002</v>
      </c>
      <c r="D73" s="93">
        <v>-65000</v>
      </c>
      <c r="E73" s="82"/>
      <c r="F73" s="82"/>
      <c r="G73" s="82"/>
      <c r="H73" s="395"/>
      <c r="I73" s="82"/>
      <c r="J73" s="82"/>
      <c r="K73" s="82">
        <f t="shared" si="4"/>
        <v>-65000</v>
      </c>
      <c r="L73" s="138"/>
      <c r="M73" s="217">
        <f t="shared" si="3"/>
        <v>0</v>
      </c>
    </row>
    <row r="74" spans="1:13" s="65" customFormat="1">
      <c r="A74" s="156" t="s">
        <v>808</v>
      </c>
      <c r="B74" s="91">
        <v>45424</v>
      </c>
      <c r="C74" s="72" t="s">
        <v>1004</v>
      </c>
      <c r="D74" s="93"/>
      <c r="E74" s="82"/>
      <c r="F74" s="82"/>
      <c r="G74" s="82"/>
      <c r="H74" s="57"/>
      <c r="I74" s="82"/>
      <c r="J74" s="82"/>
      <c r="K74" s="82"/>
      <c r="L74" s="138"/>
      <c r="M74" s="217">
        <f t="shared" si="3"/>
        <v>0</v>
      </c>
    </row>
    <row r="75" spans="1:13" s="65" customFormat="1">
      <c r="A75" s="156" t="s">
        <v>809</v>
      </c>
      <c r="B75" s="91">
        <v>45424</v>
      </c>
      <c r="C75" s="287" t="s">
        <v>1207</v>
      </c>
      <c r="D75" s="93">
        <v>1000000</v>
      </c>
      <c r="E75" s="82"/>
      <c r="F75" s="82"/>
      <c r="G75" s="82"/>
      <c r="H75" s="395">
        <f>D75</f>
        <v>1000000</v>
      </c>
      <c r="I75" s="82"/>
      <c r="J75" s="82"/>
      <c r="K75" s="82"/>
      <c r="L75" s="138"/>
      <c r="M75" s="217">
        <f t="shared" si="3"/>
        <v>0</v>
      </c>
    </row>
    <row r="76" spans="1:13" s="65" customFormat="1">
      <c r="A76" s="156" t="s">
        <v>810</v>
      </c>
      <c r="B76" s="91">
        <v>45425</v>
      </c>
      <c r="C76" s="72" t="s">
        <v>1006</v>
      </c>
      <c r="D76" s="93">
        <v>-100000</v>
      </c>
      <c r="E76" s="82"/>
      <c r="F76" s="82"/>
      <c r="G76" s="82"/>
      <c r="H76" s="395"/>
      <c r="I76" s="82"/>
      <c r="J76" s="82"/>
      <c r="K76" s="82">
        <f>D76</f>
        <v>-100000</v>
      </c>
      <c r="L76" s="138"/>
      <c r="M76" s="217">
        <f t="shared" si="3"/>
        <v>0</v>
      </c>
    </row>
    <row r="77" spans="1:13" s="65" customFormat="1">
      <c r="A77" s="156" t="s">
        <v>811</v>
      </c>
      <c r="B77" s="91">
        <v>45425</v>
      </c>
      <c r="C77" s="72" t="s">
        <v>1008</v>
      </c>
      <c r="D77" s="93">
        <v>-65000</v>
      </c>
      <c r="E77" s="82"/>
      <c r="F77" s="82"/>
      <c r="G77" s="82"/>
      <c r="H77" s="395"/>
      <c r="I77" s="82"/>
      <c r="J77" s="82"/>
      <c r="K77" s="82">
        <f>D77</f>
        <v>-65000</v>
      </c>
      <c r="L77" s="138"/>
      <c r="M77" s="217">
        <f t="shared" si="3"/>
        <v>0</v>
      </c>
    </row>
    <row r="78" spans="1:13" s="65" customFormat="1">
      <c r="A78" s="156" t="s">
        <v>812</v>
      </c>
      <c r="B78" s="91">
        <v>45425</v>
      </c>
      <c r="C78" s="72" t="s">
        <v>1014</v>
      </c>
      <c r="D78" s="93">
        <v>-75000</v>
      </c>
      <c r="E78" s="82"/>
      <c r="F78" s="82"/>
      <c r="G78" s="82"/>
      <c r="H78" s="395"/>
      <c r="I78" s="82"/>
      <c r="J78" s="82"/>
      <c r="K78" s="82">
        <f>D78</f>
        <v>-75000</v>
      </c>
      <c r="L78" s="138"/>
      <c r="M78" s="217">
        <f t="shared" si="3"/>
        <v>0</v>
      </c>
    </row>
    <row r="79" spans="1:13" s="65" customFormat="1">
      <c r="A79" s="156" t="s">
        <v>813</v>
      </c>
      <c r="B79" s="91">
        <v>45425</v>
      </c>
      <c r="C79" s="388" t="s">
        <v>1016</v>
      </c>
      <c r="D79" s="93">
        <v>-65000</v>
      </c>
      <c r="E79" s="82"/>
      <c r="F79" s="82"/>
      <c r="G79" s="82"/>
      <c r="H79" s="57"/>
      <c r="I79" s="82"/>
      <c r="J79" s="82"/>
      <c r="K79" s="82">
        <f>D79</f>
        <v>-65000</v>
      </c>
      <c r="L79" s="138"/>
      <c r="M79" s="217">
        <f t="shared" si="3"/>
        <v>0</v>
      </c>
    </row>
    <row r="80" spans="1:13" s="65" customFormat="1">
      <c r="A80" s="156" t="s">
        <v>814</v>
      </c>
      <c r="B80" s="91">
        <v>45426</v>
      </c>
      <c r="C80" s="72" t="s">
        <v>1019</v>
      </c>
      <c r="D80" s="93">
        <v>-65000</v>
      </c>
      <c r="E80" s="82"/>
      <c r="F80" s="82"/>
      <c r="G80" s="82"/>
      <c r="H80" s="57"/>
      <c r="I80" s="82"/>
      <c r="J80" s="82"/>
      <c r="K80" s="82">
        <f>D80</f>
        <v>-65000</v>
      </c>
      <c r="L80" s="138"/>
      <c r="M80" s="217">
        <f t="shared" si="3"/>
        <v>0</v>
      </c>
    </row>
    <row r="81" spans="1:13" s="65" customFormat="1">
      <c r="A81" s="156" t="s">
        <v>815</v>
      </c>
      <c r="B81" s="91">
        <v>45426</v>
      </c>
      <c r="C81" s="72" t="s">
        <v>1018</v>
      </c>
      <c r="D81" s="93">
        <v>5000000</v>
      </c>
      <c r="E81" s="266"/>
      <c r="F81" s="138"/>
      <c r="G81" s="138"/>
      <c r="H81" s="402"/>
      <c r="I81" s="138"/>
      <c r="J81" s="266">
        <f>D81</f>
        <v>5000000</v>
      </c>
      <c r="K81" s="266"/>
      <c r="L81" s="138"/>
      <c r="M81" s="217">
        <f t="shared" si="3"/>
        <v>0</v>
      </c>
    </row>
    <row r="82" spans="1:13" s="65" customFormat="1">
      <c r="A82" s="156" t="s">
        <v>816</v>
      </c>
      <c r="B82" s="91">
        <v>45426</v>
      </c>
      <c r="C82" s="72" t="s">
        <v>1022</v>
      </c>
      <c r="D82" s="93">
        <v>-1500000</v>
      </c>
      <c r="E82" s="82"/>
      <c r="F82" s="82"/>
      <c r="G82" s="82"/>
      <c r="H82" s="57"/>
      <c r="I82" s="82"/>
      <c r="J82" s="82"/>
      <c r="K82" s="82">
        <f>D82</f>
        <v>-1500000</v>
      </c>
      <c r="L82" s="138"/>
      <c r="M82" s="217">
        <f t="shared" si="3"/>
        <v>0</v>
      </c>
    </row>
    <row r="83" spans="1:13" s="65" customFormat="1">
      <c r="A83" s="156" t="s">
        <v>817</v>
      </c>
      <c r="B83" s="91">
        <v>45426</v>
      </c>
      <c r="C83" s="72" t="s">
        <v>1024</v>
      </c>
      <c r="D83" s="93">
        <v>-65000</v>
      </c>
      <c r="E83" s="82"/>
      <c r="F83" s="82"/>
      <c r="G83" s="82"/>
      <c r="H83" s="395"/>
      <c r="I83" s="82"/>
      <c r="J83" s="82"/>
      <c r="K83" s="82">
        <f>D83</f>
        <v>-65000</v>
      </c>
      <c r="L83" s="138"/>
      <c r="M83" s="217">
        <f t="shared" si="3"/>
        <v>0</v>
      </c>
    </row>
    <row r="84" spans="1:13" s="65" customFormat="1">
      <c r="A84" s="156" t="s">
        <v>818</v>
      </c>
      <c r="B84" s="354">
        <v>45427</v>
      </c>
      <c r="C84" s="72" t="s">
        <v>1028</v>
      </c>
      <c r="D84" s="93">
        <v>1000000</v>
      </c>
      <c r="E84" s="82"/>
      <c r="F84" s="82"/>
      <c r="G84" s="82"/>
      <c r="H84" s="57"/>
      <c r="I84" s="82"/>
      <c r="J84" s="82">
        <f>D84</f>
        <v>1000000</v>
      </c>
      <c r="K84" s="82"/>
      <c r="L84" s="138"/>
      <c r="M84" s="217">
        <f t="shared" si="3"/>
        <v>0</v>
      </c>
    </row>
    <row r="85" spans="1:13" s="65" customFormat="1">
      <c r="A85" s="156" t="s">
        <v>819</v>
      </c>
      <c r="B85" s="354">
        <v>45427</v>
      </c>
      <c r="C85" s="287" t="s">
        <v>1210</v>
      </c>
      <c r="D85" s="93">
        <v>500000</v>
      </c>
      <c r="E85" s="82"/>
      <c r="F85" s="82"/>
      <c r="G85" s="82"/>
      <c r="H85" s="395">
        <f>D85</f>
        <v>500000</v>
      </c>
      <c r="I85" s="82"/>
      <c r="J85" s="82"/>
      <c r="K85" s="82"/>
      <c r="L85" s="138"/>
      <c r="M85" s="217">
        <f t="shared" si="3"/>
        <v>0</v>
      </c>
    </row>
    <row r="86" spans="1:13" s="65" customFormat="1">
      <c r="A86" s="156" t="s">
        <v>820</v>
      </c>
      <c r="B86" s="354">
        <v>45427</v>
      </c>
      <c r="C86" s="72" t="s">
        <v>1030</v>
      </c>
      <c r="D86" s="93">
        <v>-65000</v>
      </c>
      <c r="E86" s="82"/>
      <c r="F86" s="82"/>
      <c r="G86" s="82"/>
      <c r="H86" s="57"/>
      <c r="I86" s="82"/>
      <c r="J86" s="82"/>
      <c r="K86" s="82">
        <f t="shared" ref="K86:K93" si="5">D86</f>
        <v>-65000</v>
      </c>
      <c r="L86" s="138"/>
      <c r="M86" s="217">
        <f t="shared" si="3"/>
        <v>0</v>
      </c>
    </row>
    <row r="87" spans="1:13" s="65" customFormat="1">
      <c r="A87" s="156" t="s">
        <v>821</v>
      </c>
      <c r="B87" s="354">
        <v>45427</v>
      </c>
      <c r="C87" s="72" t="s">
        <v>1035</v>
      </c>
      <c r="D87" s="93">
        <v>-75000</v>
      </c>
      <c r="E87" s="82"/>
      <c r="F87" s="82"/>
      <c r="G87" s="82"/>
      <c r="H87" s="57"/>
      <c r="I87" s="82"/>
      <c r="J87" s="82"/>
      <c r="K87" s="82">
        <f t="shared" si="5"/>
        <v>-75000</v>
      </c>
      <c r="L87" s="138"/>
      <c r="M87" s="217">
        <f t="shared" si="3"/>
        <v>0</v>
      </c>
    </row>
    <row r="88" spans="1:13" s="65" customFormat="1">
      <c r="A88" s="156" t="s">
        <v>822</v>
      </c>
      <c r="B88" s="354">
        <v>45427</v>
      </c>
      <c r="C88" s="72" t="s">
        <v>1039</v>
      </c>
      <c r="D88" s="93">
        <v>-80000</v>
      </c>
      <c r="E88" s="82"/>
      <c r="F88" s="82"/>
      <c r="G88" s="82"/>
      <c r="H88" s="57"/>
      <c r="I88" s="82"/>
      <c r="J88" s="82"/>
      <c r="K88" s="82">
        <f t="shared" si="5"/>
        <v>-80000</v>
      </c>
      <c r="L88" s="138"/>
      <c r="M88" s="217">
        <f t="shared" si="3"/>
        <v>0</v>
      </c>
    </row>
    <row r="89" spans="1:13" s="65" customFormat="1">
      <c r="A89" s="156" t="s">
        <v>823</v>
      </c>
      <c r="B89" s="354">
        <v>45427</v>
      </c>
      <c r="C89" s="72" t="s">
        <v>1040</v>
      </c>
      <c r="D89" s="93">
        <v>-65000</v>
      </c>
      <c r="E89" s="82"/>
      <c r="F89" s="82"/>
      <c r="G89" s="82"/>
      <c r="H89" s="57"/>
      <c r="I89" s="82"/>
      <c r="J89" s="82"/>
      <c r="K89" s="82">
        <f t="shared" si="5"/>
        <v>-65000</v>
      </c>
      <c r="L89" s="138"/>
      <c r="M89" s="217">
        <f t="shared" si="3"/>
        <v>0</v>
      </c>
    </row>
    <row r="90" spans="1:13" s="65" customFormat="1">
      <c r="A90" s="156" t="s">
        <v>824</v>
      </c>
      <c r="B90" s="354">
        <v>45428</v>
      </c>
      <c r="C90" s="72" t="s">
        <v>1043</v>
      </c>
      <c r="D90" s="93">
        <v>-240000</v>
      </c>
      <c r="E90" s="82"/>
      <c r="F90" s="82"/>
      <c r="G90" s="82"/>
      <c r="H90" s="57"/>
      <c r="I90" s="82"/>
      <c r="J90" s="82"/>
      <c r="K90" s="82">
        <f t="shared" si="5"/>
        <v>-240000</v>
      </c>
      <c r="L90" s="138"/>
      <c r="M90" s="217">
        <f t="shared" si="3"/>
        <v>0</v>
      </c>
    </row>
    <row r="91" spans="1:13" s="65" customFormat="1">
      <c r="A91" s="156" t="s">
        <v>825</v>
      </c>
      <c r="B91" s="354">
        <v>45428</v>
      </c>
      <c r="C91" s="72" t="s">
        <v>1049</v>
      </c>
      <c r="D91" s="93">
        <v>-89300</v>
      </c>
      <c r="E91" s="451"/>
      <c r="F91" s="451"/>
      <c r="G91" s="451"/>
      <c r="H91" s="452"/>
      <c r="I91" s="451"/>
      <c r="J91" s="451"/>
      <c r="K91" s="82">
        <f t="shared" si="5"/>
        <v>-89300</v>
      </c>
      <c r="L91" s="453"/>
      <c r="M91" s="217">
        <f t="shared" si="3"/>
        <v>0</v>
      </c>
    </row>
    <row r="92" spans="1:13" s="65" customFormat="1">
      <c r="A92" s="156" t="s">
        <v>826</v>
      </c>
      <c r="B92" s="354">
        <v>45428</v>
      </c>
      <c r="C92" s="72" t="s">
        <v>1051</v>
      </c>
      <c r="D92" s="93">
        <v>-105625</v>
      </c>
      <c r="E92" s="82"/>
      <c r="F92" s="82"/>
      <c r="G92" s="82"/>
      <c r="H92" s="57"/>
      <c r="I92" s="82"/>
      <c r="J92" s="82"/>
      <c r="K92" s="82">
        <f t="shared" si="5"/>
        <v>-105625</v>
      </c>
      <c r="L92" s="138"/>
      <c r="M92" s="217">
        <f t="shared" si="3"/>
        <v>0</v>
      </c>
    </row>
    <row r="93" spans="1:13" s="65" customFormat="1">
      <c r="A93" s="156" t="s">
        <v>827</v>
      </c>
      <c r="B93" s="354">
        <v>45428</v>
      </c>
      <c r="C93" s="72" t="s">
        <v>1052</v>
      </c>
      <c r="D93" s="93">
        <v>-65000</v>
      </c>
      <c r="E93" s="82"/>
      <c r="F93" s="82"/>
      <c r="G93" s="82"/>
      <c r="H93" s="57"/>
      <c r="I93" s="82"/>
      <c r="J93" s="82"/>
      <c r="K93" s="82">
        <f t="shared" si="5"/>
        <v>-65000</v>
      </c>
      <c r="L93" s="138"/>
      <c r="M93" s="217">
        <f t="shared" si="3"/>
        <v>0</v>
      </c>
    </row>
    <row r="94" spans="1:13" s="65" customFormat="1">
      <c r="A94" s="156" t="s">
        <v>828</v>
      </c>
      <c r="B94" s="354">
        <v>45429</v>
      </c>
      <c r="C94" s="72" t="s">
        <v>1057</v>
      </c>
      <c r="D94" s="93">
        <v>1600000</v>
      </c>
      <c r="E94" s="82"/>
      <c r="F94" s="82"/>
      <c r="G94" s="82"/>
      <c r="H94" s="57"/>
      <c r="I94" s="82"/>
      <c r="J94" s="82">
        <f>D94</f>
        <v>1600000</v>
      </c>
      <c r="K94" s="82"/>
      <c r="L94" s="138"/>
      <c r="M94" s="217">
        <f t="shared" si="3"/>
        <v>0</v>
      </c>
    </row>
    <row r="95" spans="1:13" s="65" customFormat="1">
      <c r="A95" s="156" t="s">
        <v>829</v>
      </c>
      <c r="B95" s="354">
        <v>45429</v>
      </c>
      <c r="C95" s="72" t="s">
        <v>1060</v>
      </c>
      <c r="D95" s="93">
        <v>-89000</v>
      </c>
      <c r="E95" s="82"/>
      <c r="F95" s="82"/>
      <c r="G95" s="82"/>
      <c r="H95" s="57"/>
      <c r="I95" s="82"/>
      <c r="J95" s="82"/>
      <c r="K95" s="82">
        <f t="shared" ref="K95:K101" si="6">D95</f>
        <v>-89000</v>
      </c>
      <c r="L95" s="138"/>
      <c r="M95" s="217">
        <f t="shared" si="3"/>
        <v>0</v>
      </c>
    </row>
    <row r="96" spans="1:13" s="65" customFormat="1">
      <c r="A96" s="156" t="s">
        <v>830</v>
      </c>
      <c r="B96" s="354">
        <v>45429</v>
      </c>
      <c r="C96" s="72" t="s">
        <v>1062</v>
      </c>
      <c r="D96" s="93">
        <v>-120000</v>
      </c>
      <c r="E96" s="82"/>
      <c r="F96" s="82"/>
      <c r="G96" s="82"/>
      <c r="H96" s="57"/>
      <c r="I96" s="82"/>
      <c r="J96" s="82"/>
      <c r="K96" s="82">
        <f t="shared" si="6"/>
        <v>-120000</v>
      </c>
      <c r="L96" s="138"/>
      <c r="M96" s="217">
        <f t="shared" si="3"/>
        <v>0</v>
      </c>
    </row>
    <row r="97" spans="1:13" s="65" customFormat="1">
      <c r="A97" s="156" t="s">
        <v>831</v>
      </c>
      <c r="B97" s="354">
        <v>45429</v>
      </c>
      <c r="C97" s="72" t="s">
        <v>1063</v>
      </c>
      <c r="D97" s="93">
        <v>-65000</v>
      </c>
      <c r="E97" s="82"/>
      <c r="F97" s="82"/>
      <c r="G97" s="82"/>
      <c r="H97" s="57"/>
      <c r="I97" s="82"/>
      <c r="J97" s="82"/>
      <c r="K97" s="82">
        <f t="shared" si="6"/>
        <v>-65000</v>
      </c>
      <c r="L97" s="138"/>
      <c r="M97" s="217">
        <f t="shared" si="3"/>
        <v>0</v>
      </c>
    </row>
    <row r="98" spans="1:13" s="65" customFormat="1">
      <c r="A98" s="156" t="s">
        <v>832</v>
      </c>
      <c r="B98" s="354">
        <v>45429</v>
      </c>
      <c r="C98" s="72" t="s">
        <v>1064</v>
      </c>
      <c r="D98" s="93">
        <v>-40000</v>
      </c>
      <c r="E98" s="82"/>
      <c r="F98" s="82"/>
      <c r="G98" s="82"/>
      <c r="H98" s="57"/>
      <c r="I98" s="82"/>
      <c r="J98" s="82"/>
      <c r="K98" s="82">
        <f t="shared" si="6"/>
        <v>-40000</v>
      </c>
      <c r="L98" s="138"/>
      <c r="M98" s="217">
        <f t="shared" si="3"/>
        <v>0</v>
      </c>
    </row>
    <row r="99" spans="1:13" s="65" customFormat="1">
      <c r="A99" s="156" t="s">
        <v>833</v>
      </c>
      <c r="B99" s="354">
        <v>45429</v>
      </c>
      <c r="C99" s="72" t="s">
        <v>1066</v>
      </c>
      <c r="D99" s="93">
        <v>-80000</v>
      </c>
      <c r="E99" s="82"/>
      <c r="F99" s="82"/>
      <c r="G99" s="82"/>
      <c r="H99" s="57"/>
      <c r="I99" s="82"/>
      <c r="J99" s="82"/>
      <c r="K99" s="82">
        <f t="shared" si="6"/>
        <v>-80000</v>
      </c>
      <c r="L99" s="138"/>
      <c r="M99" s="217">
        <f t="shared" si="3"/>
        <v>0</v>
      </c>
    </row>
    <row r="100" spans="1:13" s="65" customFormat="1">
      <c r="A100" s="156" t="s">
        <v>834</v>
      </c>
      <c r="B100" s="354">
        <v>45430</v>
      </c>
      <c r="C100" s="72" t="s">
        <v>1068</v>
      </c>
      <c r="D100" s="93">
        <v>-140000</v>
      </c>
      <c r="E100" s="82"/>
      <c r="F100" s="82"/>
      <c r="G100" s="82"/>
      <c r="H100" s="57"/>
      <c r="I100" s="82"/>
      <c r="J100" s="82"/>
      <c r="K100" s="82">
        <f t="shared" si="6"/>
        <v>-140000</v>
      </c>
      <c r="L100" s="138"/>
      <c r="M100" s="217">
        <f t="shared" si="3"/>
        <v>0</v>
      </c>
    </row>
    <row r="101" spans="1:13" s="65" customFormat="1">
      <c r="A101" s="156" t="s">
        <v>835</v>
      </c>
      <c r="B101" s="354">
        <v>45430</v>
      </c>
      <c r="C101" s="72" t="s">
        <v>1069</v>
      </c>
      <c r="D101" s="93">
        <v>-200000</v>
      </c>
      <c r="E101" s="82"/>
      <c r="F101" s="82"/>
      <c r="G101" s="82"/>
      <c r="H101" s="57"/>
      <c r="I101" s="82"/>
      <c r="J101" s="82"/>
      <c r="K101" s="82">
        <f t="shared" si="6"/>
        <v>-200000</v>
      </c>
      <c r="L101" s="138"/>
      <c r="M101" s="217">
        <f t="shared" si="3"/>
        <v>0</v>
      </c>
    </row>
    <row r="102" spans="1:13" s="65" customFormat="1">
      <c r="A102" s="156" t="s">
        <v>836</v>
      </c>
      <c r="B102" s="354">
        <v>45430</v>
      </c>
      <c r="C102" s="72" t="s">
        <v>1070</v>
      </c>
      <c r="D102" s="93">
        <v>1000000</v>
      </c>
      <c r="E102" s="82"/>
      <c r="F102" s="82"/>
      <c r="G102" s="82"/>
      <c r="H102" s="57"/>
      <c r="I102" s="82"/>
      <c r="J102" s="82">
        <f>D102</f>
        <v>1000000</v>
      </c>
      <c r="K102" s="82"/>
      <c r="L102" s="138"/>
      <c r="M102" s="217">
        <f t="shared" si="3"/>
        <v>0</v>
      </c>
    </row>
    <row r="103" spans="1:13" s="65" customFormat="1">
      <c r="A103" s="156" t="s">
        <v>837</v>
      </c>
      <c r="B103" s="354">
        <v>45431</v>
      </c>
      <c r="C103" s="72" t="s">
        <v>1087</v>
      </c>
      <c r="D103" s="93">
        <v>-65000</v>
      </c>
      <c r="E103" s="82"/>
      <c r="F103" s="82"/>
      <c r="G103" s="82"/>
      <c r="H103" s="57"/>
      <c r="I103" s="82"/>
      <c r="J103" s="82"/>
      <c r="K103" s="82">
        <f>D103</f>
        <v>-65000</v>
      </c>
      <c r="L103" s="138"/>
      <c r="M103" s="217">
        <f t="shared" si="3"/>
        <v>0</v>
      </c>
    </row>
    <row r="104" spans="1:13" s="65" customFormat="1">
      <c r="A104" s="156" t="s">
        <v>838</v>
      </c>
      <c r="B104" s="354">
        <v>45430</v>
      </c>
      <c r="C104" s="72" t="s">
        <v>1073</v>
      </c>
      <c r="D104" s="93">
        <v>-97500</v>
      </c>
      <c r="E104" s="82"/>
      <c r="F104" s="82"/>
      <c r="G104" s="82"/>
      <c r="H104" s="57"/>
      <c r="I104" s="82"/>
      <c r="J104" s="82"/>
      <c r="K104" s="82">
        <f>D104</f>
        <v>-97500</v>
      </c>
      <c r="L104" s="138"/>
      <c r="M104" s="217">
        <f t="shared" si="3"/>
        <v>0</v>
      </c>
    </row>
    <row r="105" spans="1:13" s="65" customFormat="1">
      <c r="A105" s="156" t="s">
        <v>839</v>
      </c>
      <c r="B105" s="354">
        <v>45430</v>
      </c>
      <c r="C105" s="287" t="s">
        <v>1215</v>
      </c>
      <c r="D105" s="93">
        <v>2500000</v>
      </c>
      <c r="E105" s="82"/>
      <c r="F105" s="82"/>
      <c r="G105" s="82"/>
      <c r="H105" s="395">
        <f>D105</f>
        <v>2500000</v>
      </c>
      <c r="I105" s="82"/>
      <c r="J105" s="82"/>
      <c r="K105" s="82"/>
      <c r="L105" s="138"/>
      <c r="M105" s="217">
        <f t="shared" si="3"/>
        <v>0</v>
      </c>
    </row>
    <row r="106" spans="1:13" s="65" customFormat="1">
      <c r="A106" s="156" t="s">
        <v>840</v>
      </c>
      <c r="B106" s="354">
        <v>45430</v>
      </c>
      <c r="C106" s="72" t="s">
        <v>1078</v>
      </c>
      <c r="D106" s="93">
        <v>210000</v>
      </c>
      <c r="E106" s="82"/>
      <c r="F106" s="82"/>
      <c r="G106" s="82"/>
      <c r="H106" s="57"/>
      <c r="I106" s="82">
        <f>D106</f>
        <v>210000</v>
      </c>
      <c r="J106" s="82"/>
      <c r="K106" s="82"/>
      <c r="L106" s="138"/>
      <c r="M106" s="217">
        <f t="shared" si="3"/>
        <v>0</v>
      </c>
    </row>
    <row r="107" spans="1:13" s="65" customFormat="1">
      <c r="A107" s="156" t="s">
        <v>841</v>
      </c>
      <c r="B107" s="354">
        <v>45430</v>
      </c>
      <c r="C107" s="72" t="s">
        <v>1081</v>
      </c>
      <c r="D107" s="93">
        <v>-65000</v>
      </c>
      <c r="E107" s="82"/>
      <c r="F107" s="82"/>
      <c r="G107" s="82"/>
      <c r="H107" s="57"/>
      <c r="I107" s="82"/>
      <c r="J107" s="82"/>
      <c r="K107" s="82">
        <f>D107</f>
        <v>-65000</v>
      </c>
      <c r="L107" s="138"/>
      <c r="M107" s="217">
        <f t="shared" si="3"/>
        <v>0</v>
      </c>
    </row>
    <row r="108" spans="1:13" s="65" customFormat="1">
      <c r="A108" s="156" t="s">
        <v>842</v>
      </c>
      <c r="B108" s="354">
        <v>45431</v>
      </c>
      <c r="C108" s="72" t="s">
        <v>1085</v>
      </c>
      <c r="D108" s="93">
        <v>-200000</v>
      </c>
      <c r="E108" s="82"/>
      <c r="F108" s="82"/>
      <c r="G108" s="82"/>
      <c r="H108" s="57"/>
      <c r="I108" s="82"/>
      <c r="J108" s="82"/>
      <c r="K108" s="82">
        <f>D108</f>
        <v>-200000</v>
      </c>
      <c r="L108" s="138"/>
      <c r="M108" s="217">
        <f t="shared" si="3"/>
        <v>0</v>
      </c>
    </row>
    <row r="109" spans="1:13" s="65" customFormat="1">
      <c r="A109" s="156" t="s">
        <v>843</v>
      </c>
      <c r="B109" s="354">
        <v>45431</v>
      </c>
      <c r="C109" s="72" t="s">
        <v>1084</v>
      </c>
      <c r="D109" s="93">
        <v>-80000</v>
      </c>
      <c r="E109" s="82"/>
      <c r="F109" s="82"/>
      <c r="G109" s="82"/>
      <c r="H109" s="57"/>
      <c r="I109" s="82"/>
      <c r="J109" s="82"/>
      <c r="K109" s="82">
        <f>D109</f>
        <v>-80000</v>
      </c>
      <c r="L109" s="138"/>
      <c r="M109" s="217">
        <f t="shared" si="3"/>
        <v>0</v>
      </c>
    </row>
    <row r="110" spans="1:13" s="65" customFormat="1">
      <c r="A110" s="156" t="s">
        <v>844</v>
      </c>
      <c r="B110" s="354">
        <v>45431</v>
      </c>
      <c r="C110" s="287" t="s">
        <v>1209</v>
      </c>
      <c r="D110" s="93">
        <v>500000</v>
      </c>
      <c r="E110" s="82"/>
      <c r="F110" s="82"/>
      <c r="G110" s="82"/>
      <c r="H110" s="395">
        <f>D110</f>
        <v>500000</v>
      </c>
      <c r="I110" s="82"/>
      <c r="J110" s="82"/>
      <c r="K110" s="82"/>
      <c r="L110" s="138"/>
      <c r="M110" s="217">
        <f t="shared" si="3"/>
        <v>0</v>
      </c>
    </row>
    <row r="111" spans="1:13" s="65" customFormat="1">
      <c r="A111" s="156" t="s">
        <v>845</v>
      </c>
      <c r="B111" s="354">
        <v>45432</v>
      </c>
      <c r="C111" s="72" t="s">
        <v>1095</v>
      </c>
      <c r="D111" s="93">
        <v>2500000</v>
      </c>
      <c r="E111" s="82"/>
      <c r="F111" s="82"/>
      <c r="G111" s="82"/>
      <c r="H111" s="57"/>
      <c r="I111" s="82"/>
      <c r="J111" s="82">
        <f>D111</f>
        <v>2500000</v>
      </c>
      <c r="K111" s="82"/>
      <c r="L111" s="138"/>
      <c r="M111" s="217">
        <f t="shared" si="3"/>
        <v>0</v>
      </c>
    </row>
    <row r="112" spans="1:13" s="65" customFormat="1">
      <c r="A112" s="156" t="s">
        <v>846</v>
      </c>
      <c r="B112" s="354">
        <v>45432</v>
      </c>
      <c r="C112" s="72" t="s">
        <v>1096</v>
      </c>
      <c r="D112" s="93">
        <v>-65000</v>
      </c>
      <c r="E112" s="82"/>
      <c r="F112" s="82"/>
      <c r="G112" s="82"/>
      <c r="H112" s="57"/>
      <c r="I112" s="82"/>
      <c r="J112" s="82"/>
      <c r="K112" s="82">
        <f>D112</f>
        <v>-65000</v>
      </c>
      <c r="L112" s="138"/>
      <c r="M112" s="217">
        <f t="shared" si="3"/>
        <v>0</v>
      </c>
    </row>
    <row r="113" spans="1:13" s="65" customFormat="1">
      <c r="A113" s="156" t="s">
        <v>847</v>
      </c>
      <c r="B113" s="354">
        <v>45432</v>
      </c>
      <c r="C113" s="72" t="s">
        <v>1100</v>
      </c>
      <c r="D113" s="93">
        <v>-250000</v>
      </c>
      <c r="E113" s="82"/>
      <c r="F113" s="82"/>
      <c r="G113" s="82"/>
      <c r="H113" s="57"/>
      <c r="I113" s="82"/>
      <c r="J113" s="82"/>
      <c r="K113" s="82">
        <f t="shared" ref="K113:K114" si="7">D113</f>
        <v>-250000</v>
      </c>
      <c r="L113" s="138"/>
      <c r="M113" s="217">
        <f t="shared" si="3"/>
        <v>0</v>
      </c>
    </row>
    <row r="114" spans="1:13" s="65" customFormat="1">
      <c r="A114" s="156" t="s">
        <v>848</v>
      </c>
      <c r="B114" s="354">
        <v>45432</v>
      </c>
      <c r="C114" s="72" t="s">
        <v>1102</v>
      </c>
      <c r="D114" s="93">
        <v>-75000</v>
      </c>
      <c r="E114" s="82"/>
      <c r="F114" s="82"/>
      <c r="G114" s="82"/>
      <c r="H114" s="57"/>
      <c r="I114" s="82"/>
      <c r="J114" s="82"/>
      <c r="K114" s="82">
        <f t="shared" si="7"/>
        <v>-75000</v>
      </c>
      <c r="L114" s="138"/>
      <c r="M114" s="217">
        <f t="shared" si="3"/>
        <v>0</v>
      </c>
    </row>
    <row r="115" spans="1:13" s="65" customFormat="1">
      <c r="A115" s="156" t="s">
        <v>849</v>
      </c>
      <c r="B115" s="354">
        <v>45433</v>
      </c>
      <c r="C115" s="456" t="s">
        <v>1219</v>
      </c>
      <c r="D115" s="93">
        <v>-160000</v>
      </c>
      <c r="E115" s="82"/>
      <c r="F115" s="82"/>
      <c r="G115" s="82"/>
      <c r="H115" s="57"/>
      <c r="I115" s="82"/>
      <c r="J115" s="82"/>
      <c r="K115" s="82">
        <f>D115</f>
        <v>-160000</v>
      </c>
      <c r="L115" s="138"/>
      <c r="M115" s="217">
        <f t="shared" si="3"/>
        <v>0</v>
      </c>
    </row>
    <row r="116" spans="1:13" s="65" customFormat="1">
      <c r="A116" s="156" t="s">
        <v>850</v>
      </c>
      <c r="B116" s="354">
        <v>45433</v>
      </c>
      <c r="C116" s="456" t="s">
        <v>1220</v>
      </c>
      <c r="D116" s="93">
        <v>1400000</v>
      </c>
      <c r="E116" s="82"/>
      <c r="F116" s="82"/>
      <c r="G116" s="82"/>
      <c r="H116" s="57"/>
      <c r="I116" s="82"/>
      <c r="J116" s="82">
        <f>D116</f>
        <v>1400000</v>
      </c>
      <c r="K116" s="82"/>
      <c r="L116" s="138"/>
      <c r="M116" s="217">
        <f t="shared" si="3"/>
        <v>0</v>
      </c>
    </row>
    <row r="117" spans="1:13" s="65" customFormat="1">
      <c r="A117" s="156" t="s">
        <v>851</v>
      </c>
      <c r="B117" s="354">
        <v>45433</v>
      </c>
      <c r="C117" s="456" t="s">
        <v>1221</v>
      </c>
      <c r="D117" s="93">
        <v>-65000</v>
      </c>
      <c r="E117" s="82"/>
      <c r="F117" s="82"/>
      <c r="G117" s="82"/>
      <c r="H117" s="57"/>
      <c r="I117" s="82"/>
      <c r="J117" s="82"/>
      <c r="K117" s="82">
        <f t="shared" ref="K117:K127" si="8">D117</f>
        <v>-65000</v>
      </c>
      <c r="L117" s="138"/>
      <c r="M117" s="217">
        <f t="shared" si="3"/>
        <v>0</v>
      </c>
    </row>
    <row r="118" spans="1:13" s="65" customFormat="1">
      <c r="A118" s="156" t="s">
        <v>852</v>
      </c>
      <c r="B118" s="354">
        <v>45433</v>
      </c>
      <c r="C118" s="456" t="s">
        <v>1223</v>
      </c>
      <c r="D118" s="93">
        <v>-105000</v>
      </c>
      <c r="E118" s="82"/>
      <c r="F118" s="82"/>
      <c r="G118" s="82"/>
      <c r="H118" s="57"/>
      <c r="I118" s="82"/>
      <c r="J118" s="82"/>
      <c r="K118" s="82">
        <f t="shared" si="8"/>
        <v>-105000</v>
      </c>
      <c r="L118" s="138"/>
      <c r="M118" s="217">
        <f t="shared" si="3"/>
        <v>0</v>
      </c>
    </row>
    <row r="119" spans="1:13" s="65" customFormat="1">
      <c r="A119" s="156" t="s">
        <v>853</v>
      </c>
      <c r="B119" s="354">
        <v>45433</v>
      </c>
      <c r="C119" s="456" t="s">
        <v>1227</v>
      </c>
      <c r="D119" s="93">
        <v>-65000</v>
      </c>
      <c r="E119" s="82"/>
      <c r="F119" s="82"/>
      <c r="G119" s="82"/>
      <c r="H119" s="57"/>
      <c r="I119" s="82"/>
      <c r="J119" s="82"/>
      <c r="K119" s="82">
        <f t="shared" si="8"/>
        <v>-65000</v>
      </c>
      <c r="L119" s="138"/>
      <c r="M119" s="217">
        <f t="shared" si="3"/>
        <v>0</v>
      </c>
    </row>
    <row r="120" spans="1:13" s="65" customFormat="1">
      <c r="A120" s="156" t="s">
        <v>854</v>
      </c>
      <c r="B120" s="354">
        <v>45434</v>
      </c>
      <c r="C120" s="72" t="s">
        <v>1228</v>
      </c>
      <c r="D120" s="93">
        <v>-120000</v>
      </c>
      <c r="E120" s="82"/>
      <c r="F120" s="82"/>
      <c r="G120" s="82"/>
      <c r="H120" s="57"/>
      <c r="I120" s="82"/>
      <c r="J120" s="82"/>
      <c r="K120" s="82">
        <f t="shared" si="8"/>
        <v>-120000</v>
      </c>
      <c r="L120" s="138"/>
      <c r="M120" s="217">
        <f t="shared" si="3"/>
        <v>0</v>
      </c>
    </row>
    <row r="121" spans="1:13" s="65" customFormat="1">
      <c r="A121" s="156" t="s">
        <v>855</v>
      </c>
      <c r="B121" s="354">
        <v>45434</v>
      </c>
      <c r="C121" s="72" t="s">
        <v>1229</v>
      </c>
      <c r="D121" s="93">
        <v>-65000</v>
      </c>
      <c r="E121" s="82"/>
      <c r="F121" s="82"/>
      <c r="G121" s="82"/>
      <c r="H121" s="57"/>
      <c r="I121" s="82"/>
      <c r="J121" s="82"/>
      <c r="K121" s="82">
        <f t="shared" si="8"/>
        <v>-65000</v>
      </c>
      <c r="L121" s="138"/>
      <c r="M121" s="217">
        <f t="shared" si="3"/>
        <v>0</v>
      </c>
    </row>
    <row r="122" spans="1:13" s="65" customFormat="1">
      <c r="A122" s="156" t="s">
        <v>856</v>
      </c>
      <c r="B122" s="354">
        <v>45434</v>
      </c>
      <c r="C122" s="72" t="s">
        <v>1230</v>
      </c>
      <c r="D122" s="93">
        <v>-65000</v>
      </c>
      <c r="E122" s="82"/>
      <c r="F122" s="82"/>
      <c r="G122" s="82"/>
      <c r="H122" s="57"/>
      <c r="I122" s="82"/>
      <c r="J122" s="82"/>
      <c r="K122" s="82">
        <f t="shared" si="8"/>
        <v>-65000</v>
      </c>
      <c r="L122" s="138"/>
      <c r="M122" s="217">
        <f t="shared" si="3"/>
        <v>0</v>
      </c>
    </row>
    <row r="123" spans="1:13" s="65" customFormat="1">
      <c r="A123" s="156" t="s">
        <v>857</v>
      </c>
      <c r="B123" s="354">
        <v>45434</v>
      </c>
      <c r="C123" s="287" t="s">
        <v>1376</v>
      </c>
      <c r="D123" s="93">
        <v>500000</v>
      </c>
      <c r="E123" s="82"/>
      <c r="F123" s="82"/>
      <c r="G123" s="82"/>
      <c r="H123" s="395">
        <f>D123</f>
        <v>500000</v>
      </c>
      <c r="I123" s="82"/>
      <c r="J123" s="82"/>
      <c r="K123" s="82"/>
      <c r="L123" s="138"/>
      <c r="M123" s="217">
        <f t="shared" si="3"/>
        <v>0</v>
      </c>
    </row>
    <row r="124" spans="1:13" s="65" customFormat="1">
      <c r="A124" s="156" t="s">
        <v>858</v>
      </c>
      <c r="B124" s="354">
        <v>45434</v>
      </c>
      <c r="C124" s="72" t="s">
        <v>1235</v>
      </c>
      <c r="D124" s="93">
        <v>-65000</v>
      </c>
      <c r="E124" s="82"/>
      <c r="F124" s="82"/>
      <c r="G124" s="82"/>
      <c r="H124" s="57"/>
      <c r="I124" s="82"/>
      <c r="J124" s="82"/>
      <c r="K124" s="82">
        <f t="shared" si="8"/>
        <v>-65000</v>
      </c>
      <c r="L124" s="138"/>
      <c r="M124" s="217">
        <f t="shared" si="3"/>
        <v>0</v>
      </c>
    </row>
    <row r="125" spans="1:13" s="65" customFormat="1">
      <c r="A125" s="156" t="s">
        <v>859</v>
      </c>
      <c r="B125" s="354">
        <v>45435</v>
      </c>
      <c r="C125" s="72" t="s">
        <v>1239</v>
      </c>
      <c r="D125" s="93">
        <v>-65000</v>
      </c>
      <c r="E125" s="82"/>
      <c r="F125" s="82"/>
      <c r="G125" s="82"/>
      <c r="H125" s="57"/>
      <c r="I125" s="82"/>
      <c r="J125" s="82"/>
      <c r="K125" s="82">
        <f t="shared" si="8"/>
        <v>-65000</v>
      </c>
      <c r="L125" s="138"/>
      <c r="M125" s="217">
        <f t="shared" si="3"/>
        <v>0</v>
      </c>
    </row>
    <row r="126" spans="1:13" s="65" customFormat="1">
      <c r="A126" s="156" t="s">
        <v>860</v>
      </c>
      <c r="B126" s="354">
        <v>45435</v>
      </c>
      <c r="C126" s="72" t="s">
        <v>1240</v>
      </c>
      <c r="D126" s="93">
        <v>-65000</v>
      </c>
      <c r="E126" s="82"/>
      <c r="F126" s="82"/>
      <c r="G126" s="82"/>
      <c r="H126" s="57"/>
      <c r="I126" s="82"/>
      <c r="J126" s="82"/>
      <c r="K126" s="82">
        <f t="shared" si="8"/>
        <v>-65000</v>
      </c>
      <c r="L126" s="138"/>
      <c r="M126" s="217">
        <f t="shared" si="3"/>
        <v>0</v>
      </c>
    </row>
    <row r="127" spans="1:13" s="65" customFormat="1">
      <c r="A127" s="156" t="s">
        <v>861</v>
      </c>
      <c r="B127" s="354">
        <v>45435</v>
      </c>
      <c r="C127" s="72" t="s">
        <v>1242</v>
      </c>
      <c r="D127" s="93">
        <v>-75000</v>
      </c>
      <c r="E127" s="82"/>
      <c r="F127" s="82"/>
      <c r="G127" s="82"/>
      <c r="H127" s="57"/>
      <c r="I127" s="82"/>
      <c r="J127" s="82"/>
      <c r="K127" s="82">
        <f t="shared" si="8"/>
        <v>-75000</v>
      </c>
      <c r="L127" s="138"/>
      <c r="M127" s="217">
        <f t="shared" si="3"/>
        <v>0</v>
      </c>
    </row>
    <row r="128" spans="1:13" s="65" customFormat="1">
      <c r="A128" s="156" t="s">
        <v>1379</v>
      </c>
      <c r="B128" s="354">
        <v>45436</v>
      </c>
      <c r="C128" s="72" t="s">
        <v>1243</v>
      </c>
      <c r="D128" s="93">
        <v>-200000</v>
      </c>
      <c r="E128" s="82"/>
      <c r="F128" s="82"/>
      <c r="G128" s="82"/>
      <c r="H128" s="57"/>
      <c r="I128" s="82"/>
      <c r="J128" s="82"/>
      <c r="K128" s="82">
        <f>D128</f>
        <v>-200000</v>
      </c>
      <c r="L128" s="138"/>
      <c r="M128" s="217">
        <f t="shared" si="3"/>
        <v>0</v>
      </c>
    </row>
    <row r="129" spans="1:13" s="65" customFormat="1">
      <c r="A129" s="156" t="s">
        <v>1380</v>
      </c>
      <c r="B129" s="354">
        <v>45436</v>
      </c>
      <c r="C129" s="72" t="s">
        <v>1244</v>
      </c>
      <c r="D129" s="93">
        <v>3600000</v>
      </c>
      <c r="E129" s="82"/>
      <c r="F129" s="82"/>
      <c r="G129" s="82"/>
      <c r="H129" s="57"/>
      <c r="I129" s="82"/>
      <c r="J129" s="82">
        <f>D129</f>
        <v>3600000</v>
      </c>
      <c r="K129" s="82"/>
      <c r="L129" s="138"/>
      <c r="M129" s="217">
        <f t="shared" si="3"/>
        <v>0</v>
      </c>
    </row>
    <row r="130" spans="1:13" s="65" customFormat="1">
      <c r="A130" s="156" t="s">
        <v>1381</v>
      </c>
      <c r="B130" s="354">
        <v>45436</v>
      </c>
      <c r="C130" s="72" t="s">
        <v>1245</v>
      </c>
      <c r="D130" s="93">
        <v>-65000</v>
      </c>
      <c r="E130" s="82"/>
      <c r="F130" s="82"/>
      <c r="G130" s="82"/>
      <c r="H130" s="57"/>
      <c r="I130" s="82"/>
      <c r="J130" s="82"/>
      <c r="K130" s="82">
        <f>D130</f>
        <v>-65000</v>
      </c>
      <c r="L130" s="138"/>
      <c r="M130" s="217">
        <f t="shared" si="3"/>
        <v>0</v>
      </c>
    </row>
    <row r="131" spans="1:13" s="65" customFormat="1">
      <c r="A131" s="156" t="s">
        <v>1382</v>
      </c>
      <c r="B131" s="354">
        <v>45436</v>
      </c>
      <c r="C131" s="287" t="s">
        <v>1377</v>
      </c>
      <c r="D131" s="93">
        <v>1000000</v>
      </c>
      <c r="E131" s="82"/>
      <c r="F131" s="82"/>
      <c r="G131" s="82"/>
      <c r="H131" s="395">
        <f>D131</f>
        <v>1000000</v>
      </c>
      <c r="I131" s="82"/>
      <c r="J131" s="82"/>
      <c r="K131" s="82"/>
      <c r="L131" s="138"/>
      <c r="M131" s="217">
        <f t="shared" ref="M131:M172" si="9">D131-E131-F131-G131-H131-I131-J131-K131</f>
        <v>0</v>
      </c>
    </row>
    <row r="132" spans="1:13" s="65" customFormat="1">
      <c r="A132" s="156" t="s">
        <v>1383</v>
      </c>
      <c r="B132" s="354">
        <v>45436</v>
      </c>
      <c r="C132" s="72" t="s">
        <v>1253</v>
      </c>
      <c r="D132" s="93">
        <v>-80000</v>
      </c>
      <c r="E132" s="82"/>
      <c r="F132" s="82"/>
      <c r="G132" s="82"/>
      <c r="H132" s="57"/>
      <c r="I132" s="82"/>
      <c r="J132" s="82"/>
      <c r="K132" s="82">
        <f>D132</f>
        <v>-80000</v>
      </c>
      <c r="L132" s="138"/>
      <c r="M132" s="217">
        <f t="shared" si="9"/>
        <v>0</v>
      </c>
    </row>
    <row r="133" spans="1:13" s="65" customFormat="1">
      <c r="A133" s="156" t="s">
        <v>1384</v>
      </c>
      <c r="B133" s="354">
        <v>45436</v>
      </c>
      <c r="C133" s="72" t="s">
        <v>1254</v>
      </c>
      <c r="D133" s="93">
        <v>-65000</v>
      </c>
      <c r="E133" s="82"/>
      <c r="F133" s="82"/>
      <c r="G133" s="82"/>
      <c r="H133" s="57"/>
      <c r="I133" s="82"/>
      <c r="J133" s="82"/>
      <c r="K133" s="82">
        <f t="shared" ref="K133:K134" si="10">D133</f>
        <v>-65000</v>
      </c>
      <c r="L133" s="138"/>
      <c r="M133" s="217">
        <f t="shared" si="9"/>
        <v>0</v>
      </c>
    </row>
    <row r="134" spans="1:13" s="65" customFormat="1">
      <c r="A134" s="156" t="s">
        <v>1385</v>
      </c>
      <c r="B134" s="354">
        <v>45436</v>
      </c>
      <c r="C134" s="72" t="s">
        <v>1256</v>
      </c>
      <c r="D134" s="93">
        <v>-80000</v>
      </c>
      <c r="E134" s="82"/>
      <c r="F134" s="82"/>
      <c r="G134" s="82"/>
      <c r="H134" s="57"/>
      <c r="I134" s="82"/>
      <c r="J134" s="82"/>
      <c r="K134" s="82">
        <f t="shared" si="10"/>
        <v>-80000</v>
      </c>
      <c r="L134" s="138"/>
      <c r="M134" s="217">
        <f t="shared" si="9"/>
        <v>0</v>
      </c>
    </row>
    <row r="135" spans="1:13" s="65" customFormat="1">
      <c r="A135" s="156" t="s">
        <v>1386</v>
      </c>
      <c r="B135" s="354">
        <v>45437</v>
      </c>
      <c r="C135" s="72" t="s">
        <v>1258</v>
      </c>
      <c r="D135" s="93">
        <v>1000000</v>
      </c>
      <c r="E135" s="82"/>
      <c r="F135" s="82"/>
      <c r="G135" s="82"/>
      <c r="H135" s="395"/>
      <c r="I135" s="82"/>
      <c r="J135" s="82">
        <f>D135</f>
        <v>1000000</v>
      </c>
      <c r="K135" s="82"/>
      <c r="L135" s="138"/>
      <c r="M135" s="217">
        <f t="shared" si="9"/>
        <v>0</v>
      </c>
    </row>
    <row r="136" spans="1:13" s="65" customFormat="1">
      <c r="A136" s="156" t="s">
        <v>1387</v>
      </c>
      <c r="B136" s="354">
        <v>45437</v>
      </c>
      <c r="C136" s="72" t="s">
        <v>1260</v>
      </c>
      <c r="D136" s="93">
        <v>-65000</v>
      </c>
      <c r="E136" s="465"/>
      <c r="F136" s="465"/>
      <c r="G136" s="465"/>
      <c r="H136" s="466"/>
      <c r="I136" s="465"/>
      <c r="J136" s="465"/>
      <c r="K136" s="465">
        <f>D136</f>
        <v>-65000</v>
      </c>
      <c r="L136" s="467"/>
      <c r="M136" s="217">
        <f t="shared" si="9"/>
        <v>0</v>
      </c>
    </row>
    <row r="137" spans="1:13" s="65" customFormat="1">
      <c r="A137" s="156" t="s">
        <v>1388</v>
      </c>
      <c r="B137" s="354">
        <v>45437</v>
      </c>
      <c r="C137" s="72" t="s">
        <v>1264</v>
      </c>
      <c r="D137" s="93"/>
      <c r="E137" s="465"/>
      <c r="F137" s="465"/>
      <c r="G137" s="465"/>
      <c r="H137" s="466"/>
      <c r="I137" s="465"/>
      <c r="J137" s="465"/>
      <c r="K137" s="465"/>
      <c r="L137" s="467"/>
      <c r="M137" s="217">
        <f t="shared" si="9"/>
        <v>0</v>
      </c>
    </row>
    <row r="138" spans="1:13" s="65" customFormat="1">
      <c r="A138" s="156" t="s">
        <v>1389</v>
      </c>
      <c r="B138" s="354">
        <v>45437</v>
      </c>
      <c r="C138" s="72" t="s">
        <v>1265</v>
      </c>
      <c r="D138" s="93">
        <v>-93750</v>
      </c>
      <c r="E138" s="465"/>
      <c r="F138" s="465"/>
      <c r="G138" s="465"/>
      <c r="H138" s="466"/>
      <c r="I138" s="465"/>
      <c r="J138" s="465"/>
      <c r="K138" s="465">
        <f>D138</f>
        <v>-93750</v>
      </c>
      <c r="L138" s="467"/>
      <c r="M138" s="217">
        <f t="shared" si="9"/>
        <v>0</v>
      </c>
    </row>
    <row r="139" spans="1:13" s="65" customFormat="1">
      <c r="A139" s="156" t="s">
        <v>1390</v>
      </c>
      <c r="B139" s="354">
        <v>45437</v>
      </c>
      <c r="C139" s="72" t="s">
        <v>1266</v>
      </c>
      <c r="D139" s="93">
        <v>-65000</v>
      </c>
      <c r="E139" s="465"/>
      <c r="F139" s="465"/>
      <c r="G139" s="465"/>
      <c r="H139" s="466"/>
      <c r="I139" s="465"/>
      <c r="J139" s="465"/>
      <c r="K139" s="465">
        <f t="shared" ref="K139:K142" si="11">D139</f>
        <v>-65000</v>
      </c>
      <c r="L139" s="467"/>
      <c r="M139" s="217">
        <f t="shared" si="9"/>
        <v>0</v>
      </c>
    </row>
    <row r="140" spans="1:13" s="65" customFormat="1">
      <c r="A140" s="156" t="s">
        <v>1391</v>
      </c>
      <c r="B140" s="354">
        <v>45437</v>
      </c>
      <c r="C140" s="72" t="s">
        <v>1267</v>
      </c>
      <c r="D140" s="93">
        <v>-65000</v>
      </c>
      <c r="E140" s="465"/>
      <c r="F140" s="465"/>
      <c r="G140" s="465"/>
      <c r="H140" s="466"/>
      <c r="I140" s="465"/>
      <c r="J140" s="465"/>
      <c r="K140" s="465">
        <f t="shared" si="11"/>
        <v>-65000</v>
      </c>
      <c r="L140" s="467"/>
      <c r="M140" s="217">
        <f t="shared" si="9"/>
        <v>0</v>
      </c>
    </row>
    <row r="141" spans="1:13" s="65" customFormat="1">
      <c r="A141" s="156" t="s">
        <v>1392</v>
      </c>
      <c r="B141" s="354">
        <v>45437</v>
      </c>
      <c r="C141" s="72" t="s">
        <v>1268</v>
      </c>
      <c r="D141" s="93">
        <v>-400000</v>
      </c>
      <c r="E141" s="465"/>
      <c r="F141" s="465"/>
      <c r="G141" s="465"/>
      <c r="H141" s="466"/>
      <c r="I141" s="465"/>
      <c r="J141" s="465"/>
      <c r="K141" s="465">
        <f t="shared" si="11"/>
        <v>-400000</v>
      </c>
      <c r="L141" s="467"/>
      <c r="M141" s="217">
        <f t="shared" si="9"/>
        <v>0</v>
      </c>
    </row>
    <row r="142" spans="1:13" s="65" customFormat="1">
      <c r="A142" s="156" t="s">
        <v>1393</v>
      </c>
      <c r="B142" s="354">
        <v>45437</v>
      </c>
      <c r="C142" s="72" t="s">
        <v>1271</v>
      </c>
      <c r="D142" s="93">
        <v>-100000</v>
      </c>
      <c r="E142" s="465"/>
      <c r="F142" s="465"/>
      <c r="G142" s="465"/>
      <c r="H142" s="466"/>
      <c r="I142" s="465"/>
      <c r="J142" s="465"/>
      <c r="K142" s="465">
        <f t="shared" si="11"/>
        <v>-100000</v>
      </c>
      <c r="L142" s="467"/>
      <c r="M142" s="217">
        <f t="shared" si="9"/>
        <v>0</v>
      </c>
    </row>
    <row r="143" spans="1:13" s="65" customFormat="1">
      <c r="A143" s="156" t="s">
        <v>1394</v>
      </c>
      <c r="B143" s="91">
        <v>45438</v>
      </c>
      <c r="C143" s="72" t="s">
        <v>1278</v>
      </c>
      <c r="D143" s="93">
        <v>-260000</v>
      </c>
      <c r="E143" s="82"/>
      <c r="F143" s="82"/>
      <c r="G143" s="82"/>
      <c r="H143" s="57"/>
      <c r="I143" s="82"/>
      <c r="J143" s="82"/>
      <c r="K143" s="82">
        <f>D143</f>
        <v>-260000</v>
      </c>
      <c r="L143" s="138"/>
      <c r="M143" s="217">
        <f t="shared" si="9"/>
        <v>0</v>
      </c>
    </row>
    <row r="144" spans="1:13" s="65" customFormat="1">
      <c r="A144" s="156" t="s">
        <v>1395</v>
      </c>
      <c r="B144" s="91">
        <v>45438</v>
      </c>
      <c r="C144" s="72" t="s">
        <v>1279</v>
      </c>
      <c r="D144" s="93">
        <v>-65000</v>
      </c>
      <c r="E144" s="82"/>
      <c r="F144" s="82"/>
      <c r="G144" s="82"/>
      <c r="H144" s="395"/>
      <c r="I144" s="82"/>
      <c r="J144" s="82"/>
      <c r="K144" s="82">
        <f t="shared" ref="K144:K146" si="12">D144</f>
        <v>-65000</v>
      </c>
      <c r="L144" s="138"/>
      <c r="M144" s="217">
        <f t="shared" si="9"/>
        <v>0</v>
      </c>
    </row>
    <row r="145" spans="1:13" s="65" customFormat="1">
      <c r="A145" s="156" t="s">
        <v>1396</v>
      </c>
      <c r="B145" s="91">
        <v>45438</v>
      </c>
      <c r="C145" s="72" t="s">
        <v>1280</v>
      </c>
      <c r="D145" s="93">
        <v>-65000</v>
      </c>
      <c r="E145" s="82"/>
      <c r="F145" s="82"/>
      <c r="G145" s="82"/>
      <c r="H145" s="57"/>
      <c r="I145" s="82"/>
      <c r="J145" s="82"/>
      <c r="K145" s="82">
        <f t="shared" si="12"/>
        <v>-65000</v>
      </c>
      <c r="L145" s="138"/>
      <c r="M145" s="217">
        <f t="shared" si="9"/>
        <v>0</v>
      </c>
    </row>
    <row r="146" spans="1:13" s="65" customFormat="1">
      <c r="A146" s="156" t="s">
        <v>1397</v>
      </c>
      <c r="B146" s="91">
        <v>45438</v>
      </c>
      <c r="C146" s="72" t="s">
        <v>1282</v>
      </c>
      <c r="D146" s="93">
        <v>-93750</v>
      </c>
      <c r="E146" s="82"/>
      <c r="F146" s="82"/>
      <c r="G146" s="82"/>
      <c r="H146" s="57"/>
      <c r="I146" s="82"/>
      <c r="J146" s="82"/>
      <c r="K146" s="82">
        <f t="shared" si="12"/>
        <v>-93750</v>
      </c>
      <c r="L146" s="138"/>
      <c r="M146" s="217">
        <f t="shared" si="9"/>
        <v>0</v>
      </c>
    </row>
    <row r="147" spans="1:13" s="65" customFormat="1">
      <c r="A147" s="156" t="s">
        <v>1398</v>
      </c>
      <c r="B147" s="91">
        <v>45439</v>
      </c>
      <c r="C147" s="72" t="s">
        <v>1284</v>
      </c>
      <c r="D147" s="93">
        <v>2400000</v>
      </c>
      <c r="E147" s="82"/>
      <c r="F147" s="82"/>
      <c r="G147" s="82"/>
      <c r="H147" s="57"/>
      <c r="I147" s="82"/>
      <c r="J147" s="82">
        <f>D147</f>
        <v>2400000</v>
      </c>
      <c r="K147" s="82"/>
      <c r="L147" s="138"/>
      <c r="M147" s="217">
        <f t="shared" si="9"/>
        <v>0</v>
      </c>
    </row>
    <row r="148" spans="1:13" s="65" customFormat="1">
      <c r="A148" s="156" t="s">
        <v>1399</v>
      </c>
      <c r="B148" s="91">
        <v>45439</v>
      </c>
      <c r="C148" s="72" t="s">
        <v>1285</v>
      </c>
      <c r="D148" s="93">
        <v>-65000</v>
      </c>
      <c r="E148" s="82"/>
      <c r="F148" s="82"/>
      <c r="G148" s="82"/>
      <c r="H148" s="57"/>
      <c r="I148" s="82"/>
      <c r="J148" s="82"/>
      <c r="K148" s="82">
        <f>D148</f>
        <v>-65000</v>
      </c>
      <c r="L148" s="138"/>
      <c r="M148" s="217">
        <f t="shared" si="9"/>
        <v>0</v>
      </c>
    </row>
    <row r="149" spans="1:13" s="65" customFormat="1">
      <c r="A149" s="156" t="s">
        <v>1400</v>
      </c>
      <c r="B149" s="91">
        <v>45439</v>
      </c>
      <c r="C149" s="72" t="s">
        <v>1286</v>
      </c>
      <c r="D149" s="93">
        <v>-65000</v>
      </c>
      <c r="E149" s="82"/>
      <c r="F149" s="82"/>
      <c r="G149" s="82"/>
      <c r="H149" s="57"/>
      <c r="I149" s="82"/>
      <c r="J149" s="82"/>
      <c r="K149" s="82">
        <f>D149</f>
        <v>-65000</v>
      </c>
      <c r="L149" s="138"/>
      <c r="M149" s="217">
        <f t="shared" si="9"/>
        <v>0</v>
      </c>
    </row>
    <row r="150" spans="1:13" s="65" customFormat="1">
      <c r="A150" s="156" t="s">
        <v>1401</v>
      </c>
      <c r="B150" s="91">
        <v>45439</v>
      </c>
      <c r="C150" s="72" t="s">
        <v>1287</v>
      </c>
      <c r="D150" s="93">
        <v>2280000</v>
      </c>
      <c r="E150" s="82"/>
      <c r="F150" s="82"/>
      <c r="G150" s="401">
        <f>D150</f>
        <v>2280000</v>
      </c>
      <c r="H150" s="57"/>
      <c r="I150" s="82"/>
      <c r="J150" s="82"/>
      <c r="K150" s="82"/>
      <c r="L150" s="138" t="s">
        <v>194</v>
      </c>
      <c r="M150" s="217">
        <f t="shared" si="9"/>
        <v>0</v>
      </c>
    </row>
    <row r="151" spans="1:13" s="65" customFormat="1">
      <c r="A151" s="156" t="s">
        <v>1402</v>
      </c>
      <c r="B151" s="91">
        <v>45439</v>
      </c>
      <c r="C151" s="287" t="s">
        <v>1378</v>
      </c>
      <c r="D151" s="93">
        <v>500000</v>
      </c>
      <c r="E151" s="82"/>
      <c r="F151" s="82"/>
      <c r="G151" s="82"/>
      <c r="H151" s="395">
        <f>D151</f>
        <v>500000</v>
      </c>
      <c r="I151" s="82"/>
      <c r="J151" s="82"/>
      <c r="K151" s="82"/>
      <c r="L151" s="138"/>
      <c r="M151" s="217">
        <f t="shared" si="9"/>
        <v>0</v>
      </c>
    </row>
    <row r="152" spans="1:13" s="65" customFormat="1">
      <c r="A152" s="156" t="s">
        <v>1403</v>
      </c>
      <c r="B152" s="91">
        <v>45439</v>
      </c>
      <c r="C152" s="72" t="s">
        <v>1293</v>
      </c>
      <c r="D152" s="93">
        <v>-75000</v>
      </c>
      <c r="E152" s="82"/>
      <c r="F152" s="82"/>
      <c r="G152" s="82"/>
      <c r="H152" s="57"/>
      <c r="I152" s="82"/>
      <c r="J152" s="82"/>
      <c r="K152" s="82">
        <f t="shared" ref="K152:K157" si="13">D152</f>
        <v>-75000</v>
      </c>
      <c r="L152" s="138"/>
      <c r="M152" s="217">
        <f t="shared" si="9"/>
        <v>0</v>
      </c>
    </row>
    <row r="153" spans="1:13" s="65" customFormat="1">
      <c r="A153" s="156" t="s">
        <v>1404</v>
      </c>
      <c r="B153" s="91">
        <v>45440</v>
      </c>
      <c r="C153" s="72" t="s">
        <v>1296</v>
      </c>
      <c r="D153" s="93">
        <v>-65000</v>
      </c>
      <c r="E153" s="82"/>
      <c r="F153" s="82"/>
      <c r="G153" s="82"/>
      <c r="H153" s="57"/>
      <c r="I153" s="82"/>
      <c r="J153" s="82"/>
      <c r="K153" s="82">
        <f t="shared" si="13"/>
        <v>-65000</v>
      </c>
      <c r="L153" s="138"/>
      <c r="M153" s="217">
        <f t="shared" si="9"/>
        <v>0</v>
      </c>
    </row>
    <row r="154" spans="1:13" s="65" customFormat="1">
      <c r="A154" s="156" t="s">
        <v>1405</v>
      </c>
      <c r="B154" s="91">
        <v>45440</v>
      </c>
      <c r="C154" s="72" t="s">
        <v>1295</v>
      </c>
      <c r="D154" s="93">
        <v>-1000000</v>
      </c>
      <c r="E154" s="82"/>
      <c r="F154" s="82"/>
      <c r="G154" s="82"/>
      <c r="H154" s="57"/>
      <c r="I154" s="82"/>
      <c r="J154" s="82"/>
      <c r="K154" s="82">
        <f t="shared" si="13"/>
        <v>-1000000</v>
      </c>
      <c r="L154" s="138"/>
      <c r="M154" s="217">
        <f t="shared" si="9"/>
        <v>0</v>
      </c>
    </row>
    <row r="155" spans="1:13" s="65" customFormat="1">
      <c r="A155" s="156" t="s">
        <v>1406</v>
      </c>
      <c r="B155" s="91">
        <v>45440</v>
      </c>
      <c r="C155" s="72" t="s">
        <v>1300</v>
      </c>
      <c r="D155" s="93">
        <v>-65000</v>
      </c>
      <c r="E155" s="82"/>
      <c r="F155" s="82"/>
      <c r="G155" s="82"/>
      <c r="H155" s="57"/>
      <c r="I155" s="82"/>
      <c r="J155" s="82"/>
      <c r="K155" s="82">
        <f t="shared" si="13"/>
        <v>-65000</v>
      </c>
      <c r="L155" s="138"/>
      <c r="M155" s="217">
        <f t="shared" si="9"/>
        <v>0</v>
      </c>
    </row>
    <row r="156" spans="1:13" s="65" customFormat="1">
      <c r="A156" s="156" t="s">
        <v>1407</v>
      </c>
      <c r="B156" s="91">
        <v>45441</v>
      </c>
      <c r="C156" s="72" t="s">
        <v>1302</v>
      </c>
      <c r="D156" s="59">
        <v>-65000</v>
      </c>
      <c r="E156" s="82"/>
      <c r="F156" s="82"/>
      <c r="G156" s="82"/>
      <c r="H156" s="395"/>
      <c r="I156" s="82"/>
      <c r="J156" s="82"/>
      <c r="K156" s="82">
        <f t="shared" si="13"/>
        <v>-65000</v>
      </c>
      <c r="L156" s="138"/>
      <c r="M156" s="217">
        <f t="shared" si="9"/>
        <v>0</v>
      </c>
    </row>
    <row r="157" spans="1:13" s="65" customFormat="1">
      <c r="A157" s="156" t="s">
        <v>1408</v>
      </c>
      <c r="B157" s="91">
        <v>45441</v>
      </c>
      <c r="C157" s="72" t="s">
        <v>1304</v>
      </c>
      <c r="D157" s="59">
        <v>-260000</v>
      </c>
      <c r="E157" s="82"/>
      <c r="F157" s="82"/>
      <c r="G157" s="82"/>
      <c r="H157" s="57"/>
      <c r="I157" s="82"/>
      <c r="J157" s="82"/>
      <c r="K157" s="82">
        <f t="shared" si="13"/>
        <v>-260000</v>
      </c>
      <c r="L157" s="138"/>
      <c r="M157" s="217">
        <f t="shared" si="9"/>
        <v>0</v>
      </c>
    </row>
    <row r="158" spans="1:13" s="65" customFormat="1">
      <c r="A158" s="156" t="s">
        <v>1409</v>
      </c>
      <c r="B158" s="91">
        <v>45441</v>
      </c>
      <c r="C158" s="72" t="s">
        <v>1305</v>
      </c>
      <c r="D158" s="59">
        <v>2000000</v>
      </c>
      <c r="E158" s="82"/>
      <c r="F158" s="82"/>
      <c r="G158" s="82"/>
      <c r="H158" s="57"/>
      <c r="I158" s="82"/>
      <c r="J158" s="82">
        <f>D158</f>
        <v>2000000</v>
      </c>
      <c r="K158" s="82"/>
      <c r="L158" s="138"/>
      <c r="M158" s="217">
        <f t="shared" si="9"/>
        <v>0</v>
      </c>
    </row>
    <row r="159" spans="1:13" s="65" customFormat="1">
      <c r="A159" s="156" t="s">
        <v>1410</v>
      </c>
      <c r="B159" s="91">
        <v>45441</v>
      </c>
      <c r="C159" s="72" t="s">
        <v>1310</v>
      </c>
      <c r="D159" s="59">
        <v>-75000</v>
      </c>
      <c r="E159" s="82"/>
      <c r="F159" s="82"/>
      <c r="G159" s="82"/>
      <c r="H159" s="57"/>
      <c r="I159" s="82"/>
      <c r="J159" s="82"/>
      <c r="K159" s="82">
        <f>D159</f>
        <v>-75000</v>
      </c>
      <c r="L159" s="138"/>
      <c r="M159" s="217">
        <f t="shared" si="9"/>
        <v>0</v>
      </c>
    </row>
    <row r="160" spans="1:13" s="65" customFormat="1">
      <c r="A160" s="156" t="s">
        <v>1411</v>
      </c>
      <c r="B160" s="91">
        <v>45441</v>
      </c>
      <c r="C160" s="72" t="s">
        <v>1315</v>
      </c>
      <c r="D160" s="93">
        <v>-65000</v>
      </c>
      <c r="E160" s="82"/>
      <c r="F160" s="82"/>
      <c r="G160" s="82"/>
      <c r="H160" s="57"/>
      <c r="I160" s="82"/>
      <c r="J160" s="82"/>
      <c r="K160" s="82">
        <f>D160</f>
        <v>-65000</v>
      </c>
      <c r="L160" s="138"/>
      <c r="M160" s="217">
        <f t="shared" si="9"/>
        <v>0</v>
      </c>
    </row>
    <row r="161" spans="1:13" s="65" customFormat="1">
      <c r="A161" s="156" t="s">
        <v>1412</v>
      </c>
      <c r="B161" s="91">
        <v>45442</v>
      </c>
      <c r="C161" s="72" t="s">
        <v>1319</v>
      </c>
      <c r="D161" s="59">
        <v>-200000</v>
      </c>
      <c r="E161" s="82"/>
      <c r="F161" s="82"/>
      <c r="G161" s="82"/>
      <c r="H161" s="395"/>
      <c r="I161" s="82"/>
      <c r="J161" s="82"/>
      <c r="K161" s="82">
        <f>D161</f>
        <v>-200000</v>
      </c>
      <c r="L161" s="138"/>
      <c r="M161" s="217">
        <f t="shared" si="9"/>
        <v>0</v>
      </c>
    </row>
    <row r="162" spans="1:13" s="65" customFormat="1">
      <c r="A162" s="156" t="s">
        <v>1413</v>
      </c>
      <c r="B162" s="91">
        <v>45442</v>
      </c>
      <c r="C162" s="72" t="s">
        <v>1320</v>
      </c>
      <c r="D162" s="59">
        <v>-650000</v>
      </c>
      <c r="E162" s="82"/>
      <c r="F162" s="82"/>
      <c r="G162" s="82"/>
      <c r="H162" s="57"/>
      <c r="I162" s="82"/>
      <c r="J162" s="82"/>
      <c r="K162" s="82">
        <f>D162</f>
        <v>-650000</v>
      </c>
      <c r="L162" s="138"/>
      <c r="M162" s="217">
        <f t="shared" si="9"/>
        <v>0</v>
      </c>
    </row>
    <row r="163" spans="1:13" s="65" customFormat="1">
      <c r="A163" s="156" t="s">
        <v>1414</v>
      </c>
      <c r="B163" s="91">
        <v>45442</v>
      </c>
      <c r="C163" s="72" t="s">
        <v>1321</v>
      </c>
      <c r="D163" s="59">
        <v>1800000</v>
      </c>
      <c r="E163" s="82"/>
      <c r="F163" s="82"/>
      <c r="G163" s="82"/>
      <c r="H163" s="395"/>
      <c r="I163" s="82"/>
      <c r="J163" s="82">
        <f>D163</f>
        <v>1800000</v>
      </c>
      <c r="K163" s="82"/>
      <c r="L163" s="138"/>
      <c r="M163" s="217">
        <f t="shared" si="9"/>
        <v>0</v>
      </c>
    </row>
    <row r="164" spans="1:13" s="65" customFormat="1">
      <c r="A164" s="156" t="s">
        <v>1415</v>
      </c>
      <c r="B164" s="91">
        <v>45442</v>
      </c>
      <c r="C164" s="72" t="s">
        <v>1323</v>
      </c>
      <c r="D164" s="59">
        <v>-65000</v>
      </c>
      <c r="E164" s="82"/>
      <c r="F164" s="82"/>
      <c r="G164" s="82"/>
      <c r="H164" s="57"/>
      <c r="I164" s="82"/>
      <c r="J164" s="82"/>
      <c r="K164" s="82">
        <f>D164</f>
        <v>-65000</v>
      </c>
      <c r="L164" s="138"/>
      <c r="M164" s="217">
        <f t="shared" si="9"/>
        <v>0</v>
      </c>
    </row>
    <row r="165" spans="1:13" s="65" customFormat="1">
      <c r="A165" s="156" t="s">
        <v>1416</v>
      </c>
      <c r="B165" s="91">
        <v>45442</v>
      </c>
      <c r="C165" s="72" t="s">
        <v>1329</v>
      </c>
      <c r="D165" s="59">
        <v>-65000</v>
      </c>
      <c r="E165" s="82"/>
      <c r="F165" s="82"/>
      <c r="G165" s="82"/>
      <c r="H165" s="57"/>
      <c r="I165" s="82"/>
      <c r="J165" s="82"/>
      <c r="K165" s="82">
        <f t="shared" ref="K165:K167" si="14">D165</f>
        <v>-65000</v>
      </c>
      <c r="L165" s="138"/>
      <c r="M165" s="217">
        <f t="shared" si="9"/>
        <v>0</v>
      </c>
    </row>
    <row r="166" spans="1:13" s="65" customFormat="1">
      <c r="A166" s="156" t="s">
        <v>1417</v>
      </c>
      <c r="B166" s="91">
        <v>45442</v>
      </c>
      <c r="C166" s="72" t="s">
        <v>1330</v>
      </c>
      <c r="D166" s="59">
        <v>-75000</v>
      </c>
      <c r="E166" s="82"/>
      <c r="F166" s="82"/>
      <c r="G166" s="82"/>
      <c r="H166" s="395"/>
      <c r="I166" s="82"/>
      <c r="J166" s="82"/>
      <c r="K166" s="82">
        <f t="shared" si="14"/>
        <v>-75000</v>
      </c>
      <c r="L166" s="138"/>
      <c r="M166" s="217">
        <f t="shared" si="9"/>
        <v>0</v>
      </c>
    </row>
    <row r="167" spans="1:13">
      <c r="A167" s="156" t="s">
        <v>1419</v>
      </c>
      <c r="B167" s="91">
        <v>45442</v>
      </c>
      <c r="C167" s="459" t="s">
        <v>1332</v>
      </c>
      <c r="D167" s="59">
        <v>-65000</v>
      </c>
      <c r="E167" s="82"/>
      <c r="F167" s="82"/>
      <c r="G167" s="82"/>
      <c r="H167" s="395"/>
      <c r="I167" s="82"/>
      <c r="J167" s="82"/>
      <c r="K167" s="82">
        <f t="shared" si="14"/>
        <v>-65000</v>
      </c>
      <c r="L167" s="138"/>
      <c r="M167" s="217">
        <f t="shared" si="9"/>
        <v>0</v>
      </c>
    </row>
    <row r="168" spans="1:13">
      <c r="A168" s="156" t="s">
        <v>1420</v>
      </c>
      <c r="B168" s="91">
        <v>45443</v>
      </c>
      <c r="C168" s="460" t="s">
        <v>1333</v>
      </c>
      <c r="D168" s="59">
        <v>-65000</v>
      </c>
      <c r="E168" s="82"/>
      <c r="F168" s="82"/>
      <c r="G168" s="82"/>
      <c r="H168" s="395"/>
      <c r="I168" s="82"/>
      <c r="J168" s="82"/>
      <c r="K168" s="82">
        <f>D168</f>
        <v>-65000</v>
      </c>
      <c r="L168" s="138"/>
      <c r="M168" s="217">
        <f t="shared" si="9"/>
        <v>0</v>
      </c>
    </row>
    <row r="169" spans="1:13">
      <c r="A169" s="156" t="s">
        <v>1372</v>
      </c>
      <c r="B169" s="91">
        <v>45443</v>
      </c>
      <c r="C169" s="287" t="s">
        <v>1418</v>
      </c>
      <c r="D169" s="59">
        <v>1000000</v>
      </c>
      <c r="E169" s="82"/>
      <c r="F169" s="82"/>
      <c r="G169" s="82"/>
      <c r="H169" s="395">
        <f>D169</f>
        <v>1000000</v>
      </c>
      <c r="I169" s="82"/>
      <c r="J169" s="82"/>
      <c r="K169" s="82"/>
      <c r="L169" s="138"/>
      <c r="M169" s="217">
        <f t="shared" si="9"/>
        <v>0</v>
      </c>
    </row>
    <row r="170" spans="1:13">
      <c r="A170" s="156" t="s">
        <v>1421</v>
      </c>
      <c r="B170" s="91">
        <v>45443</v>
      </c>
      <c r="C170" s="72" t="s">
        <v>1335</v>
      </c>
      <c r="D170" s="59">
        <v>1700000</v>
      </c>
      <c r="E170" s="82"/>
      <c r="F170" s="82"/>
      <c r="G170" s="82"/>
      <c r="H170" s="395"/>
      <c r="I170" s="82"/>
      <c r="J170" s="82">
        <f>D170</f>
        <v>1700000</v>
      </c>
      <c r="K170" s="82"/>
      <c r="L170" s="138"/>
      <c r="M170" s="217">
        <f t="shared" si="9"/>
        <v>0</v>
      </c>
    </row>
    <row r="171" spans="1:13">
      <c r="A171" s="156" t="s">
        <v>1422</v>
      </c>
      <c r="B171" s="354"/>
      <c r="C171" s="72"/>
      <c r="D171" s="93"/>
      <c r="E171" s="82"/>
      <c r="F171" s="82"/>
      <c r="G171" s="82"/>
      <c r="H171" s="395"/>
      <c r="I171" s="82"/>
      <c r="J171" s="82"/>
      <c r="K171" s="82"/>
      <c r="L171" s="138"/>
      <c r="M171" s="217">
        <f t="shared" si="9"/>
        <v>0</v>
      </c>
    </row>
    <row r="172" spans="1:13" s="65" customFormat="1">
      <c r="A172" s="156" t="s">
        <v>1423</v>
      </c>
      <c r="B172" s="91">
        <v>45443</v>
      </c>
      <c r="C172" s="460" t="s">
        <v>1424</v>
      </c>
      <c r="D172" s="59">
        <v>750000</v>
      </c>
      <c r="E172" s="82"/>
      <c r="F172" s="82"/>
      <c r="G172" s="82"/>
      <c r="H172" s="395">
        <f>D172</f>
        <v>750000</v>
      </c>
      <c r="I172" s="82"/>
      <c r="J172" s="82"/>
      <c r="K172" s="82"/>
      <c r="L172" s="138"/>
      <c r="M172" s="217">
        <f t="shared" si="9"/>
        <v>0</v>
      </c>
    </row>
    <row r="173" spans="1:13" s="65" customFormat="1">
      <c r="A173" s="156"/>
      <c r="B173" s="91">
        <v>45440</v>
      </c>
      <c r="C173" s="49" t="s">
        <v>1214</v>
      </c>
      <c r="D173" s="139">
        <v>2000000</v>
      </c>
      <c r="E173" s="82"/>
      <c r="F173" s="82"/>
      <c r="G173" s="82"/>
      <c r="H173" s="395">
        <f>D173</f>
        <v>2000000</v>
      </c>
      <c r="I173" s="82"/>
      <c r="J173" s="82"/>
      <c r="K173" s="82"/>
      <c r="L173" s="138"/>
      <c r="M173" s="217"/>
    </row>
    <row r="174" spans="1:13">
      <c r="A174" s="156"/>
      <c r="B174" s="45"/>
      <c r="C174" s="45"/>
      <c r="D174" s="215">
        <f>SUM(D2:D173)</f>
        <v>60592818</v>
      </c>
      <c r="E174" s="215">
        <f t="shared" ref="E174:L174" si="15">SUM(E2:E173)</f>
        <v>0</v>
      </c>
      <c r="F174" s="215">
        <f t="shared" si="15"/>
        <v>6500000</v>
      </c>
      <c r="G174" s="215">
        <f t="shared" si="15"/>
        <v>2280000</v>
      </c>
      <c r="H174" s="215">
        <f t="shared" si="15"/>
        <v>20750000</v>
      </c>
      <c r="I174" s="215">
        <f t="shared" si="15"/>
        <v>1013000</v>
      </c>
      <c r="J174" s="215">
        <f t="shared" si="15"/>
        <v>42600000</v>
      </c>
      <c r="K174" s="215">
        <f t="shared" si="15"/>
        <v>-28270182</v>
      </c>
      <c r="L174" s="215">
        <f t="shared" si="15"/>
        <v>0</v>
      </c>
    </row>
    <row r="176" spans="1:13">
      <c r="E176" s="116"/>
      <c r="F176" s="116"/>
      <c r="G176" s="116"/>
      <c r="H176" s="154"/>
      <c r="I176" s="154"/>
    </row>
    <row r="177" spans="4:9">
      <c r="D177" s="216" t="s">
        <v>63</v>
      </c>
      <c r="E177" s="118">
        <f>E102+E111</f>
        <v>0</v>
      </c>
      <c r="F177" s="267"/>
    </row>
    <row r="178" spans="4:9">
      <c r="D178" s="216" t="str">
        <f>F1</f>
        <v>DP via FO</v>
      </c>
      <c r="E178" s="118">
        <f>F174</f>
        <v>6500000</v>
      </c>
      <c r="F178" s="267"/>
      <c r="G178" s="116"/>
      <c r="H178" s="472"/>
      <c r="I178" s="217"/>
    </row>
    <row r="179" spans="4:9">
      <c r="D179" s="216" t="s">
        <v>645</v>
      </c>
      <c r="E179" s="118">
        <f>G174</f>
        <v>2280000</v>
      </c>
      <c r="F179" s="267"/>
    </row>
    <row r="180" spans="4:9">
      <c r="D180" s="216" t="s">
        <v>120</v>
      </c>
      <c r="E180" s="118">
        <f>H174</f>
        <v>20750000</v>
      </c>
      <c r="F180" s="267"/>
    </row>
    <row r="181" spans="4:9">
      <c r="D181" s="216" t="s">
        <v>1</v>
      </c>
      <c r="E181" s="118">
        <f>I174</f>
        <v>1013000</v>
      </c>
      <c r="F181" s="267"/>
    </row>
    <row r="182" spans="4:9">
      <c r="D182" s="216" t="s">
        <v>128</v>
      </c>
      <c r="E182" s="118">
        <f>J174</f>
        <v>42600000</v>
      </c>
      <c r="F182" s="267"/>
    </row>
    <row r="183" spans="4:9">
      <c r="D183" s="216" t="s">
        <v>64</v>
      </c>
      <c r="E183" s="118">
        <f>K174</f>
        <v>-28270182</v>
      </c>
      <c r="F183" s="267"/>
    </row>
    <row r="184" spans="4:9">
      <c r="D184" s="216" t="s">
        <v>10</v>
      </c>
      <c r="E184" s="118">
        <f>L174</f>
        <v>0</v>
      </c>
      <c r="F184" s="267"/>
    </row>
    <row r="185" spans="4:9">
      <c r="D185" s="216" t="s">
        <v>95</v>
      </c>
      <c r="E185" s="118">
        <f>SUM(E177:E184)</f>
        <v>44872818</v>
      </c>
      <c r="F185" s="267"/>
    </row>
    <row r="187" spans="4:9">
      <c r="E187" s="116"/>
      <c r="F187" s="116"/>
    </row>
  </sheetData>
  <phoneticPr fontId="24" type="noConversion"/>
  <pageMargins left="0.7" right="0.7" top="0.75" bottom="0.75" header="0.3" footer="0.3"/>
  <pageSetup paperSize="9" scale="3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topLeftCell="A28" workbookViewId="0">
      <selection activeCell="J34" sqref="J34"/>
    </sheetView>
  </sheetViews>
  <sheetFormatPr defaultRowHeight="15"/>
  <cols>
    <col min="1" max="1" width="34.7109375" style="212" customWidth="1"/>
    <col min="2" max="2" width="19.28515625" style="213" customWidth="1"/>
    <col min="3" max="3" width="14.28515625" customWidth="1"/>
    <col min="4" max="7" width="12.5703125" style="213" customWidth="1"/>
    <col min="8" max="8" width="14.7109375" style="205" customWidth="1"/>
    <col min="9" max="9" width="12.5703125" bestFit="1" customWidth="1"/>
  </cols>
  <sheetData>
    <row r="1" spans="1:8" ht="15" customHeight="1">
      <c r="A1" s="239" t="s">
        <v>517</v>
      </c>
      <c r="B1" s="240"/>
      <c r="D1" s="240"/>
      <c r="E1" s="240"/>
      <c r="F1" s="240"/>
      <c r="G1" s="240"/>
      <c r="H1" s="240"/>
    </row>
    <row r="2" spans="1:8" ht="15" customHeight="1">
      <c r="A2" s="239"/>
      <c r="B2" s="296"/>
      <c r="D2" s="296"/>
      <c r="E2" s="296"/>
      <c r="F2" s="296"/>
      <c r="G2" s="296"/>
      <c r="H2" s="296"/>
    </row>
    <row r="3" spans="1:8" s="54" customFormat="1">
      <c r="A3" s="297" t="s">
        <v>5</v>
      </c>
      <c r="B3" s="297"/>
      <c r="C3" s="332" t="s">
        <v>7</v>
      </c>
      <c r="D3" s="297" t="s">
        <v>339</v>
      </c>
      <c r="E3" s="297" t="s">
        <v>472</v>
      </c>
      <c r="F3" s="297" t="s">
        <v>516</v>
      </c>
      <c r="G3" s="297" t="s">
        <v>865</v>
      </c>
      <c r="H3" s="298" t="s">
        <v>864</v>
      </c>
    </row>
    <row r="4" spans="1:8">
      <c r="A4" s="299" t="s">
        <v>65</v>
      </c>
      <c r="B4" s="300" t="s">
        <v>271</v>
      </c>
      <c r="C4" s="333">
        <f>SUM(D4:M4)</f>
        <v>1208179000</v>
      </c>
      <c r="D4" s="301">
        <v>247613000</v>
      </c>
      <c r="E4" s="301">
        <v>238277000</v>
      </c>
      <c r="F4" s="301">
        <v>115986000</v>
      </c>
      <c r="G4" s="301">
        <v>136836000</v>
      </c>
      <c r="H4" s="280">
        <f>Invoices!G54</f>
        <v>469467000</v>
      </c>
    </row>
    <row r="5" spans="1:8">
      <c r="A5" s="331"/>
      <c r="B5" s="300" t="s">
        <v>11</v>
      </c>
      <c r="C5" s="333">
        <f t="shared" ref="C5:C24" si="0">SUM(D5:M5)</f>
        <v>315758640</v>
      </c>
      <c r="D5" s="301">
        <v>95335000</v>
      </c>
      <c r="E5" s="301">
        <v>60795000</v>
      </c>
      <c r="F5" s="301">
        <v>7770000</v>
      </c>
      <c r="G5" s="301">
        <v>32177640</v>
      </c>
      <c r="H5" s="280">
        <f>Invoices!H54+Kuitansi!G174</f>
        <v>119681000</v>
      </c>
    </row>
    <row r="6" spans="1:8">
      <c r="A6" s="331"/>
      <c r="B6" s="300" t="s">
        <v>159</v>
      </c>
      <c r="C6" s="333">
        <f t="shared" si="0"/>
        <v>0</v>
      </c>
      <c r="D6" s="301">
        <v>0</v>
      </c>
      <c r="E6" s="301">
        <v>0</v>
      </c>
      <c r="F6" s="301">
        <v>0</v>
      </c>
      <c r="G6" s="301">
        <v>0</v>
      </c>
      <c r="H6" s="280">
        <f>Invoices!I54</f>
        <v>0</v>
      </c>
    </row>
    <row r="7" spans="1:8">
      <c r="A7" s="299"/>
      <c r="B7" s="300" t="s">
        <v>66</v>
      </c>
      <c r="C7" s="333">
        <f t="shared" si="0"/>
        <v>309021000</v>
      </c>
      <c r="D7" s="301">
        <v>74550000</v>
      </c>
      <c r="E7" s="301">
        <v>42576000</v>
      </c>
      <c r="F7" s="301">
        <v>43325000</v>
      </c>
      <c r="G7" s="301">
        <v>71700000</v>
      </c>
      <c r="H7" s="280">
        <f>Invoices!L56</f>
        <v>76870000</v>
      </c>
    </row>
    <row r="8" spans="1:8">
      <c r="A8" s="299" t="s">
        <v>67</v>
      </c>
      <c r="B8" s="300" t="s">
        <v>272</v>
      </c>
      <c r="C8" s="333">
        <f t="shared" si="0"/>
        <v>37543375</v>
      </c>
      <c r="D8" s="301">
        <v>2140000</v>
      </c>
      <c r="E8" s="301">
        <v>4250000</v>
      </c>
      <c r="F8" s="301">
        <v>7610375</v>
      </c>
      <c r="G8" s="301">
        <v>20723000</v>
      </c>
      <c r="H8" s="280">
        <f>Bills!J16</f>
        <v>2820000</v>
      </c>
    </row>
    <row r="9" spans="1:8">
      <c r="A9" s="299"/>
      <c r="B9" s="300" t="s">
        <v>273</v>
      </c>
      <c r="C9" s="333">
        <f t="shared" si="0"/>
        <v>1580000</v>
      </c>
      <c r="D9" s="301">
        <v>460000</v>
      </c>
      <c r="E9" s="301">
        <v>280000</v>
      </c>
      <c r="F9" s="301">
        <v>840000</v>
      </c>
      <c r="G9" s="301">
        <v>0</v>
      </c>
      <c r="H9" s="280">
        <f>Kuitansi!E177</f>
        <v>0</v>
      </c>
    </row>
    <row r="10" spans="1:8">
      <c r="A10" s="300"/>
      <c r="B10" s="300" t="s">
        <v>11</v>
      </c>
      <c r="C10" s="333">
        <f t="shared" si="0"/>
        <v>24005000</v>
      </c>
      <c r="D10" s="301">
        <v>2290000</v>
      </c>
      <c r="E10" s="301">
        <v>1090000</v>
      </c>
      <c r="F10" s="301">
        <v>2965000</v>
      </c>
      <c r="G10" s="301">
        <v>16780000</v>
      </c>
      <c r="H10" s="280">
        <f>Bills!N16</f>
        <v>880000</v>
      </c>
    </row>
    <row r="11" spans="1:8">
      <c r="A11" s="300" t="s">
        <v>274</v>
      </c>
      <c r="B11" s="300" t="s">
        <v>275</v>
      </c>
      <c r="C11" s="333">
        <f t="shared" si="0"/>
        <v>19148077</v>
      </c>
      <c r="D11" s="301">
        <v>5819200</v>
      </c>
      <c r="E11" s="301">
        <v>384394</v>
      </c>
      <c r="F11" s="301">
        <v>1133863</v>
      </c>
      <c r="G11" s="301">
        <v>11353290</v>
      </c>
      <c r="H11" s="280">
        <f>Bank!H55</f>
        <v>457330</v>
      </c>
    </row>
    <row r="12" spans="1:8">
      <c r="A12" s="300"/>
      <c r="B12" s="300" t="s">
        <v>100</v>
      </c>
      <c r="C12" s="333">
        <f t="shared" si="0"/>
        <v>68421105</v>
      </c>
      <c r="D12" s="301">
        <v>17459550</v>
      </c>
      <c r="E12" s="301">
        <v>417150</v>
      </c>
      <c r="F12" s="301">
        <v>2754000</v>
      </c>
      <c r="G12" s="301">
        <v>1217025</v>
      </c>
      <c r="H12" s="280">
        <f>Bank!I55</f>
        <v>46573380</v>
      </c>
    </row>
    <row r="13" spans="1:8">
      <c r="A13" s="299" t="s">
        <v>70</v>
      </c>
      <c r="B13" s="300" t="s">
        <v>276</v>
      </c>
      <c r="C13" s="333">
        <f t="shared" si="0"/>
        <v>12860000</v>
      </c>
      <c r="D13" s="301">
        <v>1930000</v>
      </c>
      <c r="E13" s="301">
        <v>2120000</v>
      </c>
      <c r="F13" s="301">
        <v>2390000</v>
      </c>
      <c r="G13" s="301">
        <v>2260000</v>
      </c>
      <c r="H13" s="280">
        <f>OOD!H25</f>
        <v>4160000</v>
      </c>
    </row>
    <row r="14" spans="1:8">
      <c r="A14" s="299"/>
      <c r="B14" s="300" t="s">
        <v>277</v>
      </c>
      <c r="C14" s="333">
        <f t="shared" si="0"/>
        <v>3607500</v>
      </c>
      <c r="D14" s="301">
        <v>736000</v>
      </c>
      <c r="E14" s="301">
        <v>2439500</v>
      </c>
      <c r="F14" s="301">
        <v>0</v>
      </c>
      <c r="G14" s="301">
        <v>170000</v>
      </c>
      <c r="H14" s="280">
        <f>OOD!H28</f>
        <v>262000</v>
      </c>
    </row>
    <row r="15" spans="1:8">
      <c r="A15" s="299"/>
      <c r="B15" s="300" t="s">
        <v>278</v>
      </c>
      <c r="C15" s="333">
        <f t="shared" si="0"/>
        <v>0</v>
      </c>
      <c r="D15" s="301">
        <v>0</v>
      </c>
      <c r="E15" s="301">
        <v>0</v>
      </c>
      <c r="F15" s="301">
        <v>0</v>
      </c>
      <c r="G15" s="301">
        <v>0</v>
      </c>
      <c r="H15" s="280">
        <f>OOD!H26</f>
        <v>0</v>
      </c>
    </row>
    <row r="16" spans="1:8">
      <c r="A16" s="299"/>
      <c r="B16" s="300" t="s">
        <v>279</v>
      </c>
      <c r="C16" s="333">
        <f t="shared" si="0"/>
        <v>1255000</v>
      </c>
      <c r="D16" s="301">
        <v>0</v>
      </c>
      <c r="E16" s="301">
        <v>0</v>
      </c>
      <c r="F16" s="301">
        <v>0</v>
      </c>
      <c r="G16" s="301">
        <v>714000</v>
      </c>
      <c r="H16" s="280">
        <f>OOD!H29</f>
        <v>541000</v>
      </c>
    </row>
    <row r="17" spans="1:9">
      <c r="A17" s="299"/>
      <c r="B17" s="300" t="s">
        <v>280</v>
      </c>
      <c r="C17" s="333">
        <f t="shared" si="0"/>
        <v>11660000</v>
      </c>
      <c r="D17" s="301">
        <v>0</v>
      </c>
      <c r="E17" s="301">
        <v>900000</v>
      </c>
      <c r="F17" s="301">
        <v>4100000</v>
      </c>
      <c r="G17" s="301">
        <v>6410000</v>
      </c>
      <c r="H17" s="280">
        <f>OOD!H11</f>
        <v>250000</v>
      </c>
    </row>
    <row r="18" spans="1:9">
      <c r="A18" s="299" t="s">
        <v>348</v>
      </c>
      <c r="B18" s="300" t="s">
        <v>349</v>
      </c>
      <c r="C18" s="333">
        <f t="shared" si="0"/>
        <v>960000</v>
      </c>
      <c r="D18" s="301">
        <v>960000</v>
      </c>
      <c r="E18" s="301">
        <v>0</v>
      </c>
      <c r="F18" s="301">
        <v>0</v>
      </c>
      <c r="G18" s="301">
        <v>0</v>
      </c>
      <c r="H18" s="280">
        <f>Bank!R55</f>
        <v>0</v>
      </c>
    </row>
    <row r="19" spans="1:9">
      <c r="A19" s="299"/>
      <c r="B19" s="300" t="s">
        <v>451</v>
      </c>
      <c r="C19" s="333">
        <f t="shared" si="0"/>
        <v>0</v>
      </c>
      <c r="D19" s="301"/>
      <c r="E19" s="301"/>
      <c r="F19" s="301"/>
      <c r="G19" s="301"/>
      <c r="H19" s="280"/>
    </row>
    <row r="20" spans="1:9">
      <c r="A20" s="299" t="s">
        <v>249</v>
      </c>
      <c r="B20" s="300" t="s">
        <v>11</v>
      </c>
      <c r="C20" s="333">
        <f t="shared" si="0"/>
        <v>-327040</v>
      </c>
      <c r="D20" s="301">
        <v>-56284</v>
      </c>
      <c r="E20" s="301">
        <v>-86350</v>
      </c>
      <c r="F20" s="301">
        <v>-53712</v>
      </c>
      <c r="G20" s="301">
        <v>-48867</v>
      </c>
      <c r="H20" s="280">
        <v>-81827</v>
      </c>
    </row>
    <row r="21" spans="1:9">
      <c r="A21" s="299"/>
      <c r="B21" s="300" t="s">
        <v>281</v>
      </c>
      <c r="C21" s="333">
        <f t="shared" si="0"/>
        <v>8370028</v>
      </c>
      <c r="D21" s="301">
        <v>2747058</v>
      </c>
      <c r="E21" s="301">
        <v>2476534</v>
      </c>
      <c r="F21" s="301">
        <v>1282542</v>
      </c>
      <c r="G21" s="301">
        <v>891052</v>
      </c>
      <c r="H21" s="280">
        <v>972842</v>
      </c>
    </row>
    <row r="22" spans="1:9">
      <c r="A22" s="299"/>
      <c r="B22" s="300" t="s">
        <v>178</v>
      </c>
      <c r="C22" s="333">
        <f t="shared" si="0"/>
        <v>-150000</v>
      </c>
      <c r="D22" s="301">
        <v>-30000</v>
      </c>
      <c r="E22" s="301">
        <v>-30000</v>
      </c>
      <c r="F22" s="301">
        <v>-30000</v>
      </c>
      <c r="G22" s="301">
        <v>-30000</v>
      </c>
      <c r="H22" s="280">
        <v>-30000</v>
      </c>
    </row>
    <row r="23" spans="1:9">
      <c r="A23" s="299"/>
      <c r="B23" s="300" t="s">
        <v>406</v>
      </c>
      <c r="C23" s="333">
        <f t="shared" si="0"/>
        <v>-175000</v>
      </c>
      <c r="D23" s="301">
        <v>-55000</v>
      </c>
      <c r="E23" s="301">
        <v>-30000</v>
      </c>
      <c r="F23" s="301">
        <v>-30000</v>
      </c>
      <c r="G23" s="301">
        <v>-30000</v>
      </c>
      <c r="H23" s="280">
        <v>-30000</v>
      </c>
    </row>
    <row r="24" spans="1:9">
      <c r="A24" s="299"/>
      <c r="B24" s="300" t="s">
        <v>282</v>
      </c>
      <c r="C24" s="333">
        <f t="shared" si="0"/>
        <v>0</v>
      </c>
      <c r="D24" s="301">
        <v>0</v>
      </c>
      <c r="E24" s="301">
        <v>0</v>
      </c>
      <c r="F24" s="301">
        <v>0</v>
      </c>
      <c r="G24" s="301">
        <v>0</v>
      </c>
      <c r="H24" s="280">
        <v>0</v>
      </c>
    </row>
    <row r="25" spans="1:9" s="21" customFormat="1">
      <c r="A25" s="330" t="s">
        <v>283</v>
      </c>
      <c r="B25" s="330"/>
      <c r="C25" s="443">
        <f>SUM(C4:C24)</f>
        <v>2021716685</v>
      </c>
      <c r="D25" s="303">
        <f>SUM(D4:D24)</f>
        <v>451898524</v>
      </c>
      <c r="E25" s="303">
        <f t="shared" ref="E25:H25" si="1">SUM(E4:E24)</f>
        <v>355859228</v>
      </c>
      <c r="F25" s="303">
        <f t="shared" si="1"/>
        <v>190043068</v>
      </c>
      <c r="G25" s="303">
        <f t="shared" si="1"/>
        <v>301123140</v>
      </c>
      <c r="H25" s="303">
        <f t="shared" si="1"/>
        <v>722792725</v>
      </c>
    </row>
    <row r="26" spans="1:9">
      <c r="A26" s="319" t="s">
        <v>284</v>
      </c>
      <c r="B26" s="302" t="s">
        <v>271</v>
      </c>
      <c r="C26" s="333">
        <f t="shared" ref="C26:C68" si="2">SUM(D26:M26)</f>
        <v>55850000</v>
      </c>
      <c r="D26" s="283">
        <f>[1]Kuitansi!F163</f>
        <v>4600000</v>
      </c>
      <c r="E26" s="283">
        <v>1500000</v>
      </c>
      <c r="F26" s="283">
        <v>6310000</v>
      </c>
      <c r="G26" s="283">
        <v>36940000</v>
      </c>
      <c r="H26" s="280">
        <f>Kuitansi!F174</f>
        <v>6500000</v>
      </c>
    </row>
    <row r="27" spans="1:9">
      <c r="A27" s="319"/>
      <c r="B27" s="302" t="s">
        <v>11</v>
      </c>
      <c r="C27" s="333">
        <f t="shared" si="2"/>
        <v>237861000</v>
      </c>
      <c r="D27" s="283">
        <f>[1]Bank!J95</f>
        <v>60310000</v>
      </c>
      <c r="E27" s="283">
        <v>63751000</v>
      </c>
      <c r="F27" s="283">
        <v>27000000</v>
      </c>
      <c r="G27" s="283">
        <v>58870000</v>
      </c>
      <c r="H27" s="280">
        <f>Bank!K55</f>
        <v>27930000</v>
      </c>
      <c r="I27" s="255"/>
    </row>
    <row r="28" spans="1:9">
      <c r="A28" s="304"/>
      <c r="B28" s="305"/>
      <c r="C28" s="442">
        <f t="shared" si="2"/>
        <v>0</v>
      </c>
      <c r="D28" s="305"/>
      <c r="E28" s="305"/>
      <c r="F28" s="305"/>
      <c r="G28" s="305"/>
      <c r="H28" s="306"/>
    </row>
    <row r="29" spans="1:9">
      <c r="A29" s="307" t="s">
        <v>285</v>
      </c>
      <c r="B29" s="302" t="s">
        <v>286</v>
      </c>
      <c r="C29" s="333">
        <f t="shared" si="2"/>
        <v>0</v>
      </c>
      <c r="D29" s="308">
        <v>0</v>
      </c>
      <c r="E29" s="308">
        <v>0</v>
      </c>
      <c r="F29" s="283">
        <v>0</v>
      </c>
      <c r="G29" s="283">
        <v>0</v>
      </c>
      <c r="H29" s="283">
        <v>0</v>
      </c>
    </row>
    <row r="30" spans="1:9">
      <c r="A30" s="309" t="s">
        <v>287</v>
      </c>
      <c r="B30" s="300" t="s">
        <v>271</v>
      </c>
      <c r="C30" s="333">
        <f t="shared" si="2"/>
        <v>6424500</v>
      </c>
      <c r="D30" s="301">
        <v>1280000</v>
      </c>
      <c r="E30" s="301">
        <v>1703000</v>
      </c>
      <c r="F30" s="280">
        <f>-[2]KK!Y338</f>
        <v>900000</v>
      </c>
      <c r="G30" s="280">
        <v>2541500</v>
      </c>
      <c r="H30" s="280">
        <f>-KK!Y434</f>
        <v>0</v>
      </c>
    </row>
    <row r="31" spans="1:9">
      <c r="A31" s="310" t="s">
        <v>288</v>
      </c>
      <c r="B31" s="300" t="s">
        <v>271</v>
      </c>
      <c r="C31" s="333">
        <f t="shared" si="2"/>
        <v>8789670</v>
      </c>
      <c r="D31" s="301">
        <v>0</v>
      </c>
      <c r="E31" s="301">
        <v>0</v>
      </c>
      <c r="F31" s="280">
        <f>-[2]KK!O338</f>
        <v>8789670</v>
      </c>
      <c r="G31" s="280">
        <v>0</v>
      </c>
      <c r="H31" s="280">
        <f>-KK!O434</f>
        <v>0</v>
      </c>
    </row>
    <row r="32" spans="1:9">
      <c r="A32" s="310" t="s">
        <v>289</v>
      </c>
      <c r="B32" s="300" t="s">
        <v>271</v>
      </c>
      <c r="C32" s="333">
        <f t="shared" si="2"/>
        <v>2814270</v>
      </c>
      <c r="D32" s="301">
        <v>275734</v>
      </c>
      <c r="E32" s="301">
        <v>275734</v>
      </c>
      <c r="F32" s="280">
        <f>-[2]KK!P338</f>
        <v>938090</v>
      </c>
      <c r="G32" s="280">
        <v>662356</v>
      </c>
      <c r="H32" s="280">
        <f>-KK!P434</f>
        <v>662356</v>
      </c>
    </row>
    <row r="33" spans="1:8">
      <c r="A33" s="310" t="s">
        <v>290</v>
      </c>
      <c r="B33" s="300" t="s">
        <v>271</v>
      </c>
      <c r="C33" s="333">
        <f t="shared" si="2"/>
        <v>23622000</v>
      </c>
      <c r="D33" s="301">
        <v>13492500</v>
      </c>
      <c r="E33" s="301">
        <v>4016000</v>
      </c>
      <c r="F33" s="280">
        <f>-[2]KK!Q338</f>
        <v>2500000</v>
      </c>
      <c r="G33" s="280">
        <v>1019000</v>
      </c>
      <c r="H33" s="280">
        <f>-KK!Q434</f>
        <v>2594500</v>
      </c>
    </row>
    <row r="34" spans="1:8">
      <c r="A34" s="310" t="s">
        <v>291</v>
      </c>
      <c r="B34" s="300" t="s">
        <v>271</v>
      </c>
      <c r="C34" s="333">
        <f t="shared" si="2"/>
        <v>5071335</v>
      </c>
      <c r="D34" s="301">
        <v>1014267</v>
      </c>
      <c r="E34" s="301">
        <v>1014267</v>
      </c>
      <c r="F34" s="280">
        <f>-[2]KK!R338</f>
        <v>1014267</v>
      </c>
      <c r="G34" s="280">
        <v>1014267</v>
      </c>
      <c r="H34" s="280">
        <f>-KK!R434</f>
        <v>1014267</v>
      </c>
    </row>
    <row r="35" spans="1:8">
      <c r="A35" s="310" t="s">
        <v>292</v>
      </c>
      <c r="B35" s="300" t="s">
        <v>271</v>
      </c>
      <c r="C35" s="333">
        <f t="shared" si="2"/>
        <v>2160000</v>
      </c>
      <c r="D35" s="301">
        <v>432000</v>
      </c>
      <c r="E35" s="301">
        <v>432000</v>
      </c>
      <c r="F35" s="280">
        <f>-[2]KK!N338</f>
        <v>432000</v>
      </c>
      <c r="G35" s="280">
        <v>432000</v>
      </c>
      <c r="H35" s="280">
        <f>-KK!N434</f>
        <v>432000</v>
      </c>
    </row>
    <row r="36" spans="1:8">
      <c r="A36" s="310" t="s">
        <v>293</v>
      </c>
      <c r="B36" s="300" t="s">
        <v>271</v>
      </c>
      <c r="C36" s="333">
        <f t="shared" si="2"/>
        <v>810000</v>
      </c>
      <c r="D36" s="301">
        <v>60000</v>
      </c>
      <c r="E36" s="301">
        <v>0</v>
      </c>
      <c r="F36" s="280">
        <f>-[2]KK!M338</f>
        <v>100000</v>
      </c>
      <c r="G36" s="280">
        <v>550000</v>
      </c>
      <c r="H36" s="280">
        <f>-KK!M434</f>
        <v>100000</v>
      </c>
    </row>
    <row r="37" spans="1:8">
      <c r="A37" s="311"/>
      <c r="B37" s="312"/>
      <c r="C37" s="442">
        <f t="shared" si="2"/>
        <v>0</v>
      </c>
      <c r="D37" s="312"/>
      <c r="E37" s="312"/>
      <c r="F37" s="312"/>
      <c r="G37" s="312"/>
      <c r="H37" s="306"/>
    </row>
    <row r="38" spans="1:8">
      <c r="A38" s="313" t="s">
        <v>294</v>
      </c>
      <c r="B38" s="300" t="s">
        <v>11</v>
      </c>
      <c r="C38" s="333">
        <f t="shared" si="2"/>
        <v>0</v>
      </c>
      <c r="D38" s="301"/>
      <c r="E38" s="301"/>
      <c r="F38" s="301"/>
      <c r="G38" s="301"/>
      <c r="H38" s="283"/>
    </row>
    <row r="39" spans="1:8">
      <c r="A39" s="313" t="s">
        <v>295</v>
      </c>
      <c r="B39" s="300" t="s">
        <v>178</v>
      </c>
      <c r="C39" s="333">
        <f>SUM(D39:M39)</f>
        <v>294068967</v>
      </c>
      <c r="D39" s="301">
        <v>64512917</v>
      </c>
      <c r="E39" s="301">
        <v>61766085</v>
      </c>
      <c r="F39" s="301">
        <v>58963569</v>
      </c>
      <c r="G39" s="301">
        <v>48224838</v>
      </c>
      <c r="H39" s="280">
        <v>60601558</v>
      </c>
    </row>
    <row r="40" spans="1:8">
      <c r="A40" s="313" t="s">
        <v>296</v>
      </c>
      <c r="B40" s="300" t="s">
        <v>297</v>
      </c>
      <c r="C40" s="333">
        <f t="shared" si="2"/>
        <v>19290000</v>
      </c>
      <c r="D40" s="301">
        <v>3140000</v>
      </c>
      <c r="E40" s="301">
        <v>3800000</v>
      </c>
      <c r="F40" s="301">
        <v>4000000</v>
      </c>
      <c r="G40" s="301">
        <v>4550000</v>
      </c>
      <c r="H40" s="280">
        <v>3800000</v>
      </c>
    </row>
    <row r="41" spans="1:8">
      <c r="A41" s="314" t="s">
        <v>298</v>
      </c>
      <c r="B41" s="300" t="s">
        <v>271</v>
      </c>
      <c r="C41" s="333">
        <f t="shared" si="2"/>
        <v>17412793</v>
      </c>
      <c r="D41" s="301">
        <v>2305000</v>
      </c>
      <c r="E41" s="301">
        <v>3125000</v>
      </c>
      <c r="F41" s="301">
        <v>2107368</v>
      </c>
      <c r="G41" s="301">
        <v>1845000</v>
      </c>
      <c r="H41" s="280">
        <f>-KK!D439</f>
        <v>8030425</v>
      </c>
    </row>
    <row r="42" spans="1:8">
      <c r="A42" s="313" t="s">
        <v>653</v>
      </c>
      <c r="B42" s="300" t="s">
        <v>271</v>
      </c>
      <c r="C42" s="333">
        <f t="shared" si="2"/>
        <v>11836542</v>
      </c>
      <c r="D42" s="301">
        <v>3811157</v>
      </c>
      <c r="E42" s="301">
        <v>3462565</v>
      </c>
      <c r="F42" s="301">
        <v>0</v>
      </c>
      <c r="G42" s="301">
        <v>4562820</v>
      </c>
      <c r="H42" s="280">
        <f>-KK!D438</f>
        <v>0</v>
      </c>
    </row>
    <row r="43" spans="1:8">
      <c r="A43" s="313" t="s">
        <v>299</v>
      </c>
      <c r="B43" s="300" t="s">
        <v>271</v>
      </c>
      <c r="C43" s="333">
        <f t="shared" si="2"/>
        <v>560000</v>
      </c>
      <c r="D43" s="301">
        <v>0</v>
      </c>
      <c r="E43" s="301">
        <v>0</v>
      </c>
      <c r="F43" s="301">
        <v>0</v>
      </c>
      <c r="G43" s="301">
        <v>240000</v>
      </c>
      <c r="H43" s="280">
        <v>320000</v>
      </c>
    </row>
    <row r="44" spans="1:8">
      <c r="A44" s="313" t="s">
        <v>357</v>
      </c>
      <c r="B44" s="300"/>
      <c r="C44" s="333">
        <f t="shared" si="2"/>
        <v>0</v>
      </c>
      <c r="D44" s="301"/>
      <c r="E44" s="301"/>
      <c r="F44" s="301"/>
      <c r="G44" s="301"/>
      <c r="H44" s="280"/>
    </row>
    <row r="45" spans="1:8">
      <c r="A45" s="313" t="s">
        <v>358</v>
      </c>
      <c r="B45" s="300"/>
      <c r="C45" s="333">
        <f t="shared" si="2"/>
        <v>0</v>
      </c>
      <c r="D45" s="301"/>
      <c r="E45" s="301"/>
      <c r="F45" s="301"/>
      <c r="G45" s="301"/>
      <c r="H45" s="280"/>
    </row>
    <row r="46" spans="1:8">
      <c r="A46" s="313" t="s">
        <v>359</v>
      </c>
      <c r="B46" s="300"/>
      <c r="C46" s="333">
        <f t="shared" si="2"/>
        <v>0</v>
      </c>
      <c r="D46" s="301"/>
      <c r="E46" s="301"/>
      <c r="F46" s="301"/>
      <c r="G46" s="301"/>
      <c r="H46" s="280"/>
    </row>
    <row r="47" spans="1:8">
      <c r="A47" s="313" t="s">
        <v>360</v>
      </c>
      <c r="B47" s="300" t="s">
        <v>178</v>
      </c>
      <c r="C47" s="333">
        <f t="shared" si="2"/>
        <v>385095</v>
      </c>
      <c r="D47" s="301">
        <v>385095</v>
      </c>
      <c r="E47" s="301"/>
      <c r="F47" s="301"/>
      <c r="G47" s="301"/>
      <c r="H47" s="280"/>
    </row>
    <row r="48" spans="1:8">
      <c r="A48" s="313" t="s">
        <v>665</v>
      </c>
      <c r="B48" s="300" t="s">
        <v>178</v>
      </c>
      <c r="C48" s="333">
        <f t="shared" si="2"/>
        <v>30000000</v>
      </c>
      <c r="D48" s="301">
        <v>30000000</v>
      </c>
      <c r="E48" s="301"/>
      <c r="F48" s="301"/>
      <c r="G48" s="301"/>
      <c r="H48" s="280"/>
    </row>
    <row r="49" spans="1:11">
      <c r="A49" s="315"/>
      <c r="B49" s="316"/>
      <c r="C49" s="442">
        <f t="shared" si="2"/>
        <v>0</v>
      </c>
      <c r="D49" s="316"/>
      <c r="E49" s="316"/>
      <c r="F49" s="316"/>
      <c r="G49" s="316"/>
      <c r="H49" s="317"/>
    </row>
    <row r="50" spans="1:11">
      <c r="A50" s="313" t="s">
        <v>300</v>
      </c>
      <c r="B50" s="302" t="s">
        <v>271</v>
      </c>
      <c r="C50" s="333">
        <f t="shared" si="2"/>
        <v>17250000</v>
      </c>
      <c r="D50" s="308">
        <v>7800000</v>
      </c>
      <c r="E50" s="308">
        <v>1500000</v>
      </c>
      <c r="F50" s="308">
        <v>4550000</v>
      </c>
      <c r="G50" s="308">
        <v>2000000</v>
      </c>
      <c r="H50" s="280">
        <f>-KK!X434</f>
        <v>1400000</v>
      </c>
    </row>
    <row r="51" spans="1:11">
      <c r="A51" s="313" t="s">
        <v>301</v>
      </c>
      <c r="B51" s="300" t="s">
        <v>271</v>
      </c>
      <c r="C51" s="333">
        <f t="shared" si="2"/>
        <v>2050000</v>
      </c>
      <c r="D51" s="301">
        <v>0</v>
      </c>
      <c r="E51" s="301">
        <v>2050000</v>
      </c>
      <c r="F51" s="301">
        <v>0</v>
      </c>
      <c r="G51" s="301">
        <v>0</v>
      </c>
      <c r="H51" s="280">
        <f>KK!D440</f>
        <v>0</v>
      </c>
    </row>
    <row r="52" spans="1:11">
      <c r="A52" s="313" t="s">
        <v>302</v>
      </c>
      <c r="B52" s="300" t="s">
        <v>271</v>
      </c>
      <c r="C52" s="333">
        <f t="shared" si="2"/>
        <v>3256925</v>
      </c>
      <c r="D52" s="301">
        <v>59000</v>
      </c>
      <c r="E52" s="301">
        <v>99000</v>
      </c>
      <c r="F52" s="301">
        <v>800000</v>
      </c>
      <c r="G52" s="301">
        <v>2225425</v>
      </c>
      <c r="H52" s="280">
        <f>-KK!W434</f>
        <v>73500</v>
      </c>
    </row>
    <row r="53" spans="1:11">
      <c r="A53" s="313"/>
      <c r="B53" s="300" t="s">
        <v>367</v>
      </c>
      <c r="C53" s="333">
        <f t="shared" si="2"/>
        <v>1000000</v>
      </c>
      <c r="D53" s="301"/>
      <c r="E53" s="301"/>
      <c r="F53" s="301"/>
      <c r="G53" s="301">
        <v>1000000</v>
      </c>
      <c r="H53" s="280">
        <v>0</v>
      </c>
    </row>
    <row r="54" spans="1:11">
      <c r="A54" s="327"/>
      <c r="B54" s="327"/>
      <c r="C54" s="442">
        <f t="shared" si="2"/>
        <v>0</v>
      </c>
      <c r="D54" s="327"/>
      <c r="E54" s="327"/>
      <c r="F54" s="327"/>
      <c r="G54" s="327"/>
      <c r="H54" s="327"/>
      <c r="I54" s="328"/>
      <c r="J54" s="328"/>
      <c r="K54" s="328"/>
    </row>
    <row r="55" spans="1:11">
      <c r="A55" s="310" t="s">
        <v>303</v>
      </c>
      <c r="B55" s="300" t="s">
        <v>271</v>
      </c>
      <c r="C55" s="333">
        <f t="shared" si="2"/>
        <v>23547494</v>
      </c>
      <c r="D55" s="301">
        <v>5826800</v>
      </c>
      <c r="E55" s="301">
        <v>3676463</v>
      </c>
      <c r="F55" s="301">
        <v>3010000</v>
      </c>
      <c r="G55" s="301">
        <v>4787500</v>
      </c>
      <c r="H55" s="280">
        <f>-KK!K434</f>
        <v>6246731</v>
      </c>
    </row>
    <row r="56" spans="1:11">
      <c r="A56" s="310" t="s">
        <v>304</v>
      </c>
      <c r="B56" s="300" t="s">
        <v>271</v>
      </c>
      <c r="C56" s="333">
        <f t="shared" si="2"/>
        <v>388556925</v>
      </c>
      <c r="D56" s="301">
        <v>85252900</v>
      </c>
      <c r="E56" s="301">
        <v>68285500</v>
      </c>
      <c r="F56" s="301">
        <v>40399450</v>
      </c>
      <c r="G56" s="301">
        <v>58448375</v>
      </c>
      <c r="H56" s="280">
        <f>-KK!H434</f>
        <v>136170700</v>
      </c>
    </row>
    <row r="57" spans="1:11">
      <c r="A57" s="310" t="s">
        <v>305</v>
      </c>
      <c r="B57" s="300" t="s">
        <v>271</v>
      </c>
      <c r="C57" s="333">
        <f t="shared" si="2"/>
        <v>32198257</v>
      </c>
      <c r="D57" s="301">
        <v>5390550</v>
      </c>
      <c r="E57" s="301">
        <v>7306000</v>
      </c>
      <c r="F57" s="301">
        <v>5154400</v>
      </c>
      <c r="G57" s="301">
        <v>6609182</v>
      </c>
      <c r="H57" s="280">
        <f>-KK!I434</f>
        <v>7738125</v>
      </c>
    </row>
    <row r="58" spans="1:11">
      <c r="A58" s="310" t="s">
        <v>306</v>
      </c>
      <c r="B58" s="300" t="s">
        <v>271</v>
      </c>
      <c r="C58" s="333">
        <f t="shared" si="2"/>
        <v>54811800</v>
      </c>
      <c r="D58" s="301">
        <v>13949000</v>
      </c>
      <c r="E58" s="301">
        <v>10146200</v>
      </c>
      <c r="F58" s="301">
        <v>7520300</v>
      </c>
      <c r="G58" s="301">
        <v>6779500</v>
      </c>
      <c r="H58" s="280">
        <f>-KK!J434</f>
        <v>16416800</v>
      </c>
    </row>
    <row r="59" spans="1:11">
      <c r="A59" s="310" t="s">
        <v>307</v>
      </c>
      <c r="B59" s="300" t="s">
        <v>271</v>
      </c>
      <c r="C59" s="333">
        <f t="shared" si="2"/>
        <v>2038490</v>
      </c>
      <c r="D59" s="301">
        <v>278800</v>
      </c>
      <c r="E59" s="301">
        <v>137500</v>
      </c>
      <c r="F59" s="301">
        <v>1407800</v>
      </c>
      <c r="G59" s="301">
        <v>33250</v>
      </c>
      <c r="H59" s="280">
        <f>-KK!L434</f>
        <v>181140</v>
      </c>
    </row>
    <row r="60" spans="1:11">
      <c r="A60" s="310" t="s">
        <v>308</v>
      </c>
      <c r="B60" s="300" t="s">
        <v>271</v>
      </c>
      <c r="C60" s="333">
        <f t="shared" si="2"/>
        <v>136393668</v>
      </c>
      <c r="D60" s="301">
        <v>39544610</v>
      </c>
      <c r="E60" s="301">
        <v>29765561</v>
      </c>
      <c r="F60" s="301">
        <v>24025822</v>
      </c>
      <c r="G60" s="301">
        <v>22564236</v>
      </c>
      <c r="H60" s="280">
        <f>-KK!S434</f>
        <v>20493439</v>
      </c>
    </row>
    <row r="61" spans="1:11">
      <c r="A61" s="310" t="s">
        <v>309</v>
      </c>
      <c r="B61" s="300" t="s">
        <v>271</v>
      </c>
      <c r="C61" s="333">
        <f t="shared" si="2"/>
        <v>333324</v>
      </c>
      <c r="D61" s="301">
        <v>61166</v>
      </c>
      <c r="E61" s="301">
        <v>64773</v>
      </c>
      <c r="F61" s="301">
        <v>63386</v>
      </c>
      <c r="G61" s="301">
        <v>63108</v>
      </c>
      <c r="H61" s="280">
        <f>-KK!V434</f>
        <v>80891</v>
      </c>
    </row>
    <row r="62" spans="1:11">
      <c r="A62" s="310" t="s">
        <v>310</v>
      </c>
      <c r="B62" s="300" t="s">
        <v>271</v>
      </c>
      <c r="C62" s="333">
        <f t="shared" si="2"/>
        <v>2843000</v>
      </c>
      <c r="D62" s="301">
        <v>568600</v>
      </c>
      <c r="E62" s="301">
        <v>568600</v>
      </c>
      <c r="F62" s="301">
        <v>568600</v>
      </c>
      <c r="G62" s="301">
        <v>568600</v>
      </c>
      <c r="H62" s="280">
        <f>-KK!T434</f>
        <v>568600</v>
      </c>
    </row>
    <row r="63" spans="1:11">
      <c r="A63" s="310" t="s">
        <v>311</v>
      </c>
      <c r="B63" s="300" t="s">
        <v>271</v>
      </c>
      <c r="C63" s="333">
        <f t="shared" si="2"/>
        <v>5991200</v>
      </c>
      <c r="D63" s="301">
        <v>1497800</v>
      </c>
      <c r="E63" s="301">
        <v>1125850</v>
      </c>
      <c r="F63" s="301">
        <v>1121850</v>
      </c>
      <c r="G63" s="301">
        <v>1121850</v>
      </c>
      <c r="H63" s="280">
        <f>-KK!Z434</f>
        <v>1123850</v>
      </c>
    </row>
    <row r="64" spans="1:11">
      <c r="A64" s="310" t="s">
        <v>312</v>
      </c>
      <c r="B64" s="300" t="s">
        <v>271</v>
      </c>
      <c r="C64" s="333">
        <f t="shared" si="2"/>
        <v>11215855</v>
      </c>
      <c r="D64" s="301">
        <v>2085503</v>
      </c>
      <c r="E64" s="301">
        <v>2282588</v>
      </c>
      <c r="F64" s="301">
        <v>2282588</v>
      </c>
      <c r="G64" s="301">
        <v>2282588</v>
      </c>
      <c r="H64" s="280">
        <f>-KK!AA434</f>
        <v>2282588</v>
      </c>
    </row>
    <row r="65" spans="1:8">
      <c r="A65" s="310" t="s">
        <v>313</v>
      </c>
      <c r="B65" s="300" t="s">
        <v>271</v>
      </c>
      <c r="C65" s="333">
        <f t="shared" si="2"/>
        <v>1450000</v>
      </c>
      <c r="D65" s="301">
        <v>300000</v>
      </c>
      <c r="E65" s="301">
        <v>100000</v>
      </c>
      <c r="F65" s="301">
        <v>300000</v>
      </c>
      <c r="G65" s="301">
        <v>450000</v>
      </c>
      <c r="H65" s="280">
        <f>-KK!AI434</f>
        <v>300000</v>
      </c>
    </row>
    <row r="66" spans="1:8">
      <c r="A66" s="310" t="s">
        <v>314</v>
      </c>
      <c r="B66" s="300" t="s">
        <v>271</v>
      </c>
      <c r="C66" s="333">
        <f t="shared" si="2"/>
        <v>2722650</v>
      </c>
      <c r="D66" s="301">
        <v>383000</v>
      </c>
      <c r="E66" s="301">
        <v>356200</v>
      </c>
      <c r="F66" s="301">
        <v>833150</v>
      </c>
      <c r="G66" s="301">
        <v>474000</v>
      </c>
      <c r="H66" s="280">
        <f>-KK!AB434</f>
        <v>676300</v>
      </c>
    </row>
    <row r="67" spans="1:8">
      <c r="A67" s="310" t="s">
        <v>315</v>
      </c>
      <c r="B67" s="300" t="s">
        <v>271</v>
      </c>
      <c r="C67" s="333">
        <f t="shared" si="2"/>
        <v>8750000</v>
      </c>
      <c r="D67" s="301">
        <v>1750000</v>
      </c>
      <c r="E67" s="301">
        <v>1750000</v>
      </c>
      <c r="F67" s="301">
        <v>1750000</v>
      </c>
      <c r="G67" s="301">
        <v>1750000</v>
      </c>
      <c r="H67" s="280">
        <f>-KK!AC434</f>
        <v>1750000</v>
      </c>
    </row>
    <row r="68" spans="1:8">
      <c r="A68" s="310" t="s">
        <v>316</v>
      </c>
      <c r="B68" s="300" t="s">
        <v>271</v>
      </c>
      <c r="C68" s="333">
        <f t="shared" si="2"/>
        <v>1215478</v>
      </c>
      <c r="D68" s="301">
        <v>290500</v>
      </c>
      <c r="E68" s="301">
        <v>334508</v>
      </c>
      <c r="F68" s="301">
        <v>590470</v>
      </c>
      <c r="G68" s="301">
        <v>0</v>
      </c>
      <c r="H68" s="280">
        <f>-KK!AJ434</f>
        <v>0</v>
      </c>
    </row>
    <row r="69" spans="1:8">
      <c r="A69" s="310" t="s">
        <v>347</v>
      </c>
      <c r="B69" s="300" t="s">
        <v>271</v>
      </c>
      <c r="C69" s="333">
        <f t="shared" ref="C69:C106" si="3">SUM(D69:M69)</f>
        <v>4965430</v>
      </c>
      <c r="D69" s="301">
        <v>0</v>
      </c>
      <c r="E69" s="301">
        <v>0</v>
      </c>
      <c r="F69" s="301">
        <v>1214510</v>
      </c>
      <c r="G69" s="301">
        <v>3384776</v>
      </c>
      <c r="H69" s="280">
        <f>-KK!AK434</f>
        <v>366144</v>
      </c>
    </row>
    <row r="70" spans="1:8">
      <c r="A70" s="310" t="s">
        <v>467</v>
      </c>
      <c r="B70" s="300" t="s">
        <v>271</v>
      </c>
      <c r="C70" s="333">
        <f t="shared" si="3"/>
        <v>7170000</v>
      </c>
      <c r="D70" s="301"/>
      <c r="E70" s="301">
        <v>7170000</v>
      </c>
      <c r="F70" s="301"/>
      <c r="G70" s="301"/>
      <c r="H70" s="318"/>
    </row>
    <row r="71" spans="1:8">
      <c r="A71" s="310"/>
      <c r="B71" s="300" t="s">
        <v>11</v>
      </c>
      <c r="C71" s="333">
        <f t="shared" si="3"/>
        <v>21650000</v>
      </c>
      <c r="D71" s="301"/>
      <c r="E71" s="301">
        <v>21650000</v>
      </c>
      <c r="F71" s="301">
        <v>0</v>
      </c>
      <c r="G71" s="301">
        <v>0</v>
      </c>
      <c r="H71" s="318">
        <f>-Bank!C70</f>
        <v>0</v>
      </c>
    </row>
    <row r="72" spans="1:8">
      <c r="A72" s="310"/>
      <c r="B72" s="300" t="s">
        <v>367</v>
      </c>
      <c r="C72" s="333">
        <f t="shared" si="3"/>
        <v>5650000</v>
      </c>
      <c r="D72" s="301"/>
      <c r="E72" s="301"/>
      <c r="F72" s="301"/>
      <c r="G72" s="301"/>
      <c r="H72" s="318">
        <v>5650000</v>
      </c>
    </row>
    <row r="73" spans="1:8">
      <c r="A73" s="310" t="s">
        <v>1478</v>
      </c>
      <c r="B73" s="300" t="s">
        <v>271</v>
      </c>
      <c r="C73" s="333">
        <f t="shared" si="3"/>
        <v>86007362</v>
      </c>
      <c r="D73" s="301"/>
      <c r="E73" s="301"/>
      <c r="F73" s="301"/>
      <c r="G73" s="301"/>
      <c r="H73" s="318">
        <f>-KK!E434</f>
        <v>86007362</v>
      </c>
    </row>
    <row r="74" spans="1:8">
      <c r="A74" s="310" t="s">
        <v>1484</v>
      </c>
      <c r="B74" s="300" t="s">
        <v>271</v>
      </c>
      <c r="C74" s="333">
        <f t="shared" si="3"/>
        <v>11841600</v>
      </c>
      <c r="D74" s="301"/>
      <c r="E74" s="301"/>
      <c r="F74" s="301">
        <v>11841600</v>
      </c>
      <c r="G74" s="301">
        <v>0</v>
      </c>
      <c r="H74" s="318">
        <v>0</v>
      </c>
    </row>
    <row r="75" spans="1:8">
      <c r="A75" s="310"/>
      <c r="B75" s="300" t="s">
        <v>178</v>
      </c>
      <c r="C75" s="333">
        <f t="shared" si="3"/>
        <v>3625000</v>
      </c>
      <c r="D75" s="301"/>
      <c r="E75" s="301"/>
      <c r="F75" s="301">
        <v>3625000</v>
      </c>
      <c r="G75" s="301">
        <v>0</v>
      </c>
      <c r="H75" s="318">
        <v>0</v>
      </c>
    </row>
    <row r="76" spans="1:8">
      <c r="A76" s="310" t="s">
        <v>475</v>
      </c>
      <c r="B76" s="300" t="s">
        <v>271</v>
      </c>
      <c r="C76" s="333">
        <f t="shared" si="3"/>
        <v>22137450</v>
      </c>
      <c r="D76" s="301"/>
      <c r="E76" s="301">
        <v>22137450</v>
      </c>
      <c r="F76" s="301">
        <v>0</v>
      </c>
      <c r="G76" s="301">
        <v>0</v>
      </c>
      <c r="H76" s="318">
        <f>-KK!F434</f>
        <v>0</v>
      </c>
    </row>
    <row r="77" spans="1:8">
      <c r="A77" s="300" t="s">
        <v>317</v>
      </c>
      <c r="B77" s="300" t="s">
        <v>271</v>
      </c>
      <c r="C77" s="333">
        <f t="shared" si="3"/>
        <v>99596881</v>
      </c>
      <c r="D77" s="301">
        <v>36244000</v>
      </c>
      <c r="E77" s="301">
        <v>10247818</v>
      </c>
      <c r="F77" s="301">
        <v>22067258</v>
      </c>
      <c r="G77" s="301">
        <v>8839700</v>
      </c>
      <c r="H77" s="280">
        <f>-KK!AF434</f>
        <v>22198105</v>
      </c>
    </row>
    <row r="78" spans="1:8">
      <c r="A78" s="300"/>
      <c r="B78" s="300" t="s">
        <v>11</v>
      </c>
      <c r="C78" s="333">
        <f t="shared" si="3"/>
        <v>16892746</v>
      </c>
      <c r="D78" s="301">
        <v>3100000</v>
      </c>
      <c r="E78" s="301">
        <v>1742320</v>
      </c>
      <c r="F78" s="301">
        <v>12050426</v>
      </c>
      <c r="G78" s="301">
        <v>0</v>
      </c>
      <c r="H78" s="280">
        <f>-Bank!M55</f>
        <v>0</v>
      </c>
    </row>
    <row r="79" spans="1:8">
      <c r="A79" s="300" t="s">
        <v>318</v>
      </c>
      <c r="B79" s="300" t="s">
        <v>271</v>
      </c>
      <c r="C79" s="333">
        <f t="shared" si="3"/>
        <v>319855382</v>
      </c>
      <c r="D79" s="301">
        <v>116553700</v>
      </c>
      <c r="E79" s="301">
        <v>97942400</v>
      </c>
      <c r="F79" s="301">
        <v>55028800</v>
      </c>
      <c r="G79" s="301">
        <v>26322920</v>
      </c>
      <c r="H79" s="280">
        <f>-KK!AG434</f>
        <v>24007562</v>
      </c>
    </row>
    <row r="80" spans="1:8">
      <c r="A80" s="300"/>
      <c r="B80" s="300" t="s">
        <v>11</v>
      </c>
      <c r="C80" s="333">
        <f t="shared" si="3"/>
        <v>34802051</v>
      </c>
      <c r="D80" s="301">
        <v>0</v>
      </c>
      <c r="E80" s="301">
        <v>34802051</v>
      </c>
      <c r="F80" s="301">
        <v>0</v>
      </c>
      <c r="G80" s="301"/>
      <c r="H80" s="280"/>
    </row>
    <row r="81" spans="1:11">
      <c r="A81" s="300"/>
      <c r="B81" s="300" t="s">
        <v>178</v>
      </c>
      <c r="C81" s="333">
        <f t="shared" si="3"/>
        <v>19500000</v>
      </c>
      <c r="D81" s="301"/>
      <c r="E81" s="301"/>
      <c r="F81" s="301"/>
      <c r="G81" s="301">
        <v>19500000</v>
      </c>
      <c r="H81" s="280">
        <v>0</v>
      </c>
    </row>
    <row r="82" spans="1:11">
      <c r="A82" s="300" t="s">
        <v>1480</v>
      </c>
      <c r="B82" s="300" t="s">
        <v>281</v>
      </c>
      <c r="C82" s="333">
        <f t="shared" si="3"/>
        <v>15466600</v>
      </c>
      <c r="D82" s="301"/>
      <c r="E82" s="301"/>
      <c r="F82" s="301"/>
      <c r="G82" s="301"/>
      <c r="H82" s="280">
        <f>Bank!C79</f>
        <v>15466600</v>
      </c>
    </row>
    <row r="83" spans="1:11">
      <c r="A83" s="327"/>
      <c r="B83" s="327"/>
      <c r="C83" s="442">
        <f t="shared" si="3"/>
        <v>0</v>
      </c>
      <c r="D83" s="327"/>
      <c r="E83" s="327"/>
      <c r="F83" s="327"/>
      <c r="G83" s="327"/>
      <c r="H83" s="327"/>
      <c r="I83" s="328"/>
      <c r="J83" s="328"/>
      <c r="K83" s="328"/>
    </row>
    <row r="84" spans="1:11">
      <c r="A84" s="300" t="s">
        <v>1489</v>
      </c>
      <c r="B84" s="302" t="s">
        <v>11</v>
      </c>
      <c r="C84" s="333">
        <f>SUM(D84:M84)</f>
        <v>77150000</v>
      </c>
      <c r="D84" s="308">
        <v>90000000</v>
      </c>
      <c r="E84" s="308">
        <v>82150000</v>
      </c>
      <c r="F84" s="308">
        <v>15000000</v>
      </c>
      <c r="G84" s="308">
        <v>0</v>
      </c>
      <c r="H84" s="280">
        <v>-110000000</v>
      </c>
    </row>
    <row r="85" spans="1:11">
      <c r="A85" s="300"/>
      <c r="B85" s="302" t="s">
        <v>281</v>
      </c>
      <c r="C85" s="333">
        <f t="shared" si="3"/>
        <v>20000000</v>
      </c>
      <c r="D85" s="308"/>
      <c r="E85" s="308"/>
      <c r="F85" s="308">
        <v>20000000</v>
      </c>
      <c r="G85" s="308">
        <v>0</v>
      </c>
      <c r="H85" s="280">
        <v>0</v>
      </c>
    </row>
    <row r="86" spans="1:11">
      <c r="A86" s="300"/>
      <c r="B86" s="302" t="s">
        <v>178</v>
      </c>
      <c r="C86" s="333">
        <f t="shared" si="3"/>
        <v>192000000</v>
      </c>
      <c r="D86" s="308">
        <v>30000000</v>
      </c>
      <c r="E86" s="308">
        <v>50000000</v>
      </c>
      <c r="F86" s="308">
        <v>0</v>
      </c>
      <c r="G86" s="308">
        <v>52000000</v>
      </c>
      <c r="H86" s="280">
        <v>60000000</v>
      </c>
    </row>
    <row r="87" spans="1:11">
      <c r="A87" s="300"/>
      <c r="B87" s="302" t="s">
        <v>406</v>
      </c>
      <c r="C87" s="333">
        <f t="shared" si="3"/>
        <v>2000000</v>
      </c>
      <c r="D87" s="308">
        <v>2000000</v>
      </c>
      <c r="E87" s="308">
        <v>0</v>
      </c>
      <c r="F87" s="308">
        <v>0</v>
      </c>
      <c r="G87" s="308">
        <v>0</v>
      </c>
      <c r="H87" s="280">
        <v>0</v>
      </c>
    </row>
    <row r="88" spans="1:11">
      <c r="A88" s="307" t="s">
        <v>319</v>
      </c>
      <c r="B88" s="302" t="s">
        <v>178</v>
      </c>
      <c r="C88" s="333">
        <f t="shared" si="3"/>
        <v>29193837</v>
      </c>
      <c r="D88" s="308">
        <v>6208187</v>
      </c>
      <c r="E88" s="308">
        <v>6580240</v>
      </c>
      <c r="F88" s="308">
        <v>5566545</v>
      </c>
      <c r="G88" s="308">
        <v>5388062</v>
      </c>
      <c r="H88" s="280">
        <f>5450803</f>
        <v>5450803</v>
      </c>
    </row>
    <row r="89" spans="1:11">
      <c r="A89" s="313" t="s">
        <v>296</v>
      </c>
      <c r="B89" s="300" t="s">
        <v>456</v>
      </c>
      <c r="C89" s="333">
        <f t="shared" si="3"/>
        <v>0</v>
      </c>
      <c r="D89" s="301"/>
      <c r="E89" s="301"/>
      <c r="F89" s="301"/>
      <c r="G89" s="301"/>
      <c r="H89" s="280"/>
    </row>
    <row r="90" spans="1:11">
      <c r="A90" s="300" t="s">
        <v>320</v>
      </c>
      <c r="B90" s="319" t="s">
        <v>11</v>
      </c>
      <c r="C90" s="333">
        <f t="shared" si="3"/>
        <v>30000000</v>
      </c>
      <c r="D90" s="320"/>
      <c r="E90" s="320">
        <v>30000000</v>
      </c>
      <c r="F90" s="320">
        <v>0</v>
      </c>
      <c r="G90" s="320">
        <v>0</v>
      </c>
      <c r="H90" s="280">
        <v>0</v>
      </c>
    </row>
    <row r="91" spans="1:11">
      <c r="A91" s="302" t="s">
        <v>654</v>
      </c>
      <c r="B91" s="319" t="s">
        <v>11</v>
      </c>
      <c r="C91" s="333">
        <f t="shared" si="3"/>
        <v>30000000</v>
      </c>
      <c r="D91" s="320"/>
      <c r="E91" s="320"/>
      <c r="F91" s="320"/>
      <c r="G91" s="320">
        <v>30000000</v>
      </c>
      <c r="H91" s="283">
        <v>0</v>
      </c>
    </row>
    <row r="92" spans="1:11">
      <c r="A92" s="302" t="s">
        <v>321</v>
      </c>
      <c r="B92" s="319" t="s">
        <v>11</v>
      </c>
      <c r="C92" s="333">
        <f t="shared" si="3"/>
        <v>0</v>
      </c>
      <c r="D92" s="320">
        <v>0</v>
      </c>
      <c r="E92" s="320">
        <v>0</v>
      </c>
      <c r="F92" s="320">
        <v>0</v>
      </c>
      <c r="G92" s="320">
        <v>0</v>
      </c>
      <c r="H92" s="283">
        <v>0</v>
      </c>
    </row>
    <row r="93" spans="1:11">
      <c r="A93" s="302" t="s">
        <v>322</v>
      </c>
      <c r="B93" s="319" t="s">
        <v>11</v>
      </c>
      <c r="C93" s="333">
        <f t="shared" si="3"/>
        <v>0</v>
      </c>
      <c r="D93" s="320">
        <v>0</v>
      </c>
      <c r="E93" s="320">
        <v>0</v>
      </c>
      <c r="F93" s="320">
        <v>0</v>
      </c>
      <c r="G93" s="320">
        <v>0</v>
      </c>
      <c r="H93" s="283">
        <v>0</v>
      </c>
    </row>
    <row r="94" spans="1:11">
      <c r="A94" s="302" t="s">
        <v>323</v>
      </c>
      <c r="B94" s="319" t="s">
        <v>324</v>
      </c>
      <c r="C94" s="333">
        <f t="shared" si="3"/>
        <v>10000000</v>
      </c>
      <c r="D94" s="320">
        <v>10000000</v>
      </c>
      <c r="E94" s="320">
        <v>0</v>
      </c>
      <c r="F94" s="320">
        <v>0</v>
      </c>
      <c r="G94" s="320">
        <v>0</v>
      </c>
      <c r="H94" s="283">
        <v>0</v>
      </c>
    </row>
    <row r="95" spans="1:11">
      <c r="A95" s="302" t="s">
        <v>325</v>
      </c>
      <c r="B95" s="319" t="s">
        <v>326</v>
      </c>
      <c r="C95" s="333">
        <f t="shared" si="3"/>
        <v>0</v>
      </c>
      <c r="D95" s="320">
        <v>0</v>
      </c>
      <c r="E95" s="320">
        <v>0</v>
      </c>
      <c r="F95" s="320">
        <v>0</v>
      </c>
      <c r="G95" s="320">
        <v>0</v>
      </c>
      <c r="H95" s="283">
        <v>0</v>
      </c>
    </row>
    <row r="96" spans="1:11">
      <c r="A96" s="300" t="s">
        <v>327</v>
      </c>
      <c r="B96" s="319" t="s">
        <v>11</v>
      </c>
      <c r="C96" s="333">
        <f t="shared" si="3"/>
        <v>0</v>
      </c>
      <c r="D96" s="320"/>
      <c r="E96" s="320"/>
      <c r="F96" s="320"/>
      <c r="G96" s="320"/>
      <c r="H96" s="283"/>
    </row>
    <row r="97" spans="1:11">
      <c r="A97" s="288"/>
      <c r="B97" s="321"/>
      <c r="C97" s="333">
        <f t="shared" si="3"/>
        <v>0</v>
      </c>
      <c r="D97" s="322"/>
      <c r="E97" s="322"/>
      <c r="F97" s="322"/>
      <c r="G97" s="322"/>
      <c r="H97" s="283"/>
    </row>
    <row r="98" spans="1:11">
      <c r="A98" s="300" t="s">
        <v>328</v>
      </c>
      <c r="B98" s="310" t="s">
        <v>113</v>
      </c>
      <c r="C98" s="333">
        <f t="shared" si="3"/>
        <v>0</v>
      </c>
      <c r="D98" s="323"/>
      <c r="E98" s="323"/>
      <c r="F98" s="323"/>
      <c r="G98" s="323"/>
      <c r="H98" s="283"/>
    </row>
    <row r="99" spans="1:11">
      <c r="A99" s="300" t="s">
        <v>527</v>
      </c>
      <c r="B99" s="310"/>
      <c r="C99" s="333">
        <f t="shared" si="3"/>
        <v>500000000</v>
      </c>
      <c r="D99" s="323"/>
      <c r="E99" s="323"/>
      <c r="F99" s="323">
        <v>500000000</v>
      </c>
      <c r="G99" s="323">
        <v>0</v>
      </c>
      <c r="H99" s="283">
        <v>0</v>
      </c>
    </row>
    <row r="100" spans="1:11">
      <c r="A100" s="300" t="s">
        <v>528</v>
      </c>
      <c r="B100" s="310"/>
      <c r="C100" s="333">
        <f t="shared" si="3"/>
        <v>190000000</v>
      </c>
      <c r="D100" s="323"/>
      <c r="E100" s="323"/>
      <c r="F100" s="323">
        <v>190000000</v>
      </c>
      <c r="G100" s="323">
        <v>0</v>
      </c>
      <c r="H100" s="283">
        <v>0</v>
      </c>
    </row>
    <row r="101" spans="1:11">
      <c r="A101" s="300" t="s">
        <v>529</v>
      </c>
      <c r="B101" s="310"/>
      <c r="C101" s="333">
        <f t="shared" si="3"/>
        <v>400000000</v>
      </c>
      <c r="D101" s="323"/>
      <c r="E101" s="323"/>
      <c r="F101" s="323">
        <v>400000000</v>
      </c>
      <c r="G101" s="323">
        <v>0</v>
      </c>
      <c r="H101" s="283">
        <f>Cashflow!F598</f>
        <v>0</v>
      </c>
    </row>
    <row r="102" spans="1:11">
      <c r="A102" s="300" t="s">
        <v>474</v>
      </c>
      <c r="B102" s="310" t="s">
        <v>477</v>
      </c>
      <c r="C102" s="333">
        <f t="shared" si="3"/>
        <v>0</v>
      </c>
      <c r="D102" s="323"/>
      <c r="E102" s="323"/>
      <c r="F102" s="323"/>
      <c r="G102" s="323">
        <v>0</v>
      </c>
      <c r="H102" s="280">
        <v>0</v>
      </c>
    </row>
    <row r="103" spans="1:11">
      <c r="A103" s="300" t="s">
        <v>329</v>
      </c>
      <c r="B103" s="310" t="s">
        <v>330</v>
      </c>
      <c r="C103" s="333">
        <f t="shared" si="3"/>
        <v>0</v>
      </c>
      <c r="D103" s="323"/>
      <c r="E103" s="323"/>
      <c r="F103" s="323"/>
      <c r="G103" s="323">
        <v>0</v>
      </c>
      <c r="H103" s="283">
        <v>0</v>
      </c>
    </row>
    <row r="104" spans="1:11">
      <c r="A104" s="300"/>
      <c r="B104" s="310" t="s">
        <v>331</v>
      </c>
      <c r="C104" s="333">
        <f t="shared" si="3"/>
        <v>0</v>
      </c>
      <c r="D104" s="323"/>
      <c r="E104" s="323"/>
      <c r="F104" s="323"/>
      <c r="G104" s="323">
        <v>0</v>
      </c>
      <c r="H104" s="283">
        <v>0</v>
      </c>
    </row>
    <row r="105" spans="1:11">
      <c r="A105" s="300" t="s">
        <v>573</v>
      </c>
      <c r="B105" s="310" t="s">
        <v>113</v>
      </c>
      <c r="C105" s="333">
        <f t="shared" si="3"/>
        <v>315000000</v>
      </c>
      <c r="D105" s="323"/>
      <c r="E105" s="323"/>
      <c r="F105" s="323">
        <v>315000000</v>
      </c>
      <c r="G105" s="323">
        <v>0</v>
      </c>
      <c r="H105" s="283">
        <v>0</v>
      </c>
    </row>
    <row r="106" spans="1:11">
      <c r="A106" s="300"/>
      <c r="B106" s="310" t="s">
        <v>178</v>
      </c>
      <c r="C106" s="333">
        <f t="shared" si="3"/>
        <v>547500000</v>
      </c>
      <c r="D106" s="323"/>
      <c r="E106" s="323"/>
      <c r="F106" s="323">
        <v>547500000</v>
      </c>
      <c r="G106" s="323">
        <v>0</v>
      </c>
      <c r="H106" s="283">
        <v>0</v>
      </c>
    </row>
    <row r="107" spans="1:11">
      <c r="A107" s="329"/>
      <c r="B107" s="329"/>
      <c r="C107" s="441">
        <f>SUM(D107:M107)</f>
        <v>0</v>
      </c>
      <c r="D107" s="329"/>
      <c r="E107" s="329"/>
      <c r="F107" s="329"/>
      <c r="G107" s="329"/>
      <c r="H107" s="329"/>
      <c r="I107" s="530"/>
      <c r="J107" s="530"/>
      <c r="K107" s="530"/>
    </row>
    <row r="108" spans="1:11">
      <c r="A108" s="310" t="s">
        <v>332</v>
      </c>
      <c r="B108" s="329"/>
      <c r="C108" s="441">
        <f t="shared" ref="C108:C117" si="4">SUM(D108:M108)</f>
        <v>0</v>
      </c>
      <c r="D108" s="329"/>
      <c r="E108" s="329"/>
      <c r="F108" s="329"/>
      <c r="G108" s="329"/>
      <c r="H108" s="329"/>
      <c r="I108" s="530"/>
      <c r="J108" s="530"/>
      <c r="K108" s="530"/>
    </row>
    <row r="109" spans="1:11">
      <c r="A109" s="310" t="s">
        <v>333</v>
      </c>
      <c r="B109" s="324" t="s">
        <v>271</v>
      </c>
      <c r="C109" s="333">
        <f t="shared" si="4"/>
        <v>182950000</v>
      </c>
      <c r="D109" s="325">
        <v>47400000</v>
      </c>
      <c r="E109" s="325">
        <v>30000000</v>
      </c>
      <c r="F109" s="325">
        <v>28300000</v>
      </c>
      <c r="G109" s="325">
        <v>34650000</v>
      </c>
      <c r="H109" s="280">
        <f>Kuitansi!J174</f>
        <v>42600000</v>
      </c>
    </row>
    <row r="110" spans="1:11">
      <c r="A110" s="310" t="s">
        <v>334</v>
      </c>
      <c r="B110" s="324" t="s">
        <v>271</v>
      </c>
      <c r="C110" s="333">
        <f t="shared" si="4"/>
        <v>43272676</v>
      </c>
      <c r="D110" s="325">
        <v>9179404</v>
      </c>
      <c r="E110" s="325">
        <v>8572054</v>
      </c>
      <c r="F110" s="325">
        <v>6002417</v>
      </c>
      <c r="G110" s="325">
        <v>10974044</v>
      </c>
      <c r="H110" s="280">
        <f>-KK!AE434</f>
        <v>8544757</v>
      </c>
    </row>
    <row r="111" spans="1:11">
      <c r="A111" s="310"/>
      <c r="B111" s="324" t="s">
        <v>336</v>
      </c>
      <c r="C111" s="333">
        <f t="shared" si="4"/>
        <v>0</v>
      </c>
      <c r="D111" s="325"/>
      <c r="E111" s="325">
        <v>0</v>
      </c>
      <c r="F111" s="325">
        <v>0</v>
      </c>
      <c r="G111" s="325">
        <v>0</v>
      </c>
      <c r="H111" s="280">
        <v>0</v>
      </c>
    </row>
    <row r="112" spans="1:11">
      <c r="A112" s="300" t="s">
        <v>335</v>
      </c>
      <c r="B112" s="324" t="s">
        <v>271</v>
      </c>
      <c r="C112" s="333">
        <f t="shared" si="4"/>
        <v>37361380</v>
      </c>
      <c r="D112" s="325">
        <v>21181830</v>
      </c>
      <c r="E112" s="325">
        <v>7646000</v>
      </c>
      <c r="F112" s="325">
        <v>4241550</v>
      </c>
      <c r="G112" s="325">
        <v>517500</v>
      </c>
      <c r="H112" s="280">
        <f>-KK!AD434</f>
        <v>3774500</v>
      </c>
    </row>
    <row r="113" spans="1:8">
      <c r="A113" s="300"/>
      <c r="B113" s="253" t="s">
        <v>367</v>
      </c>
      <c r="C113" s="333">
        <f t="shared" si="4"/>
        <v>10300000</v>
      </c>
      <c r="D113" s="326">
        <v>0</v>
      </c>
      <c r="E113" s="326"/>
      <c r="F113" s="326"/>
      <c r="G113" s="326">
        <v>10300000</v>
      </c>
      <c r="H113" s="280"/>
    </row>
    <row r="114" spans="1:8">
      <c r="A114" s="319" t="s">
        <v>337</v>
      </c>
      <c r="B114" s="324" t="s">
        <v>271</v>
      </c>
      <c r="C114" s="333">
        <f t="shared" si="4"/>
        <v>6800000</v>
      </c>
      <c r="D114" s="325">
        <v>3800000</v>
      </c>
      <c r="E114" s="325">
        <v>3000000</v>
      </c>
      <c r="F114" s="325">
        <v>0</v>
      </c>
      <c r="G114" s="325">
        <v>0</v>
      </c>
      <c r="H114" s="280">
        <f>-KK!AH434</f>
        <v>0</v>
      </c>
    </row>
    <row r="115" spans="1:8">
      <c r="A115" s="319"/>
      <c r="B115" s="324" t="s">
        <v>338</v>
      </c>
      <c r="C115" s="333">
        <f t="shared" si="4"/>
        <v>0</v>
      </c>
      <c r="D115" s="325">
        <v>0</v>
      </c>
      <c r="E115" s="325">
        <v>0</v>
      </c>
      <c r="F115" s="325">
        <v>0</v>
      </c>
      <c r="G115" s="325">
        <v>0</v>
      </c>
      <c r="H115" s="283">
        <f>Bank!P55</f>
        <v>0</v>
      </c>
    </row>
    <row r="116" spans="1:8">
      <c r="A116" s="299" t="s">
        <v>399</v>
      </c>
      <c r="B116" s="435" t="s">
        <v>271</v>
      </c>
      <c r="C116" s="333">
        <f t="shared" si="4"/>
        <v>2860000</v>
      </c>
      <c r="D116" s="302"/>
      <c r="E116" s="308">
        <v>2860000</v>
      </c>
      <c r="F116" s="308">
        <v>0</v>
      </c>
      <c r="G116" s="308">
        <v>0</v>
      </c>
      <c r="H116" s="280">
        <v>0</v>
      </c>
    </row>
    <row r="117" spans="1:8">
      <c r="B117" s="433" t="s">
        <v>685</v>
      </c>
      <c r="C117" s="333">
        <f t="shared" si="4"/>
        <v>18185510</v>
      </c>
      <c r="D117" s="438">
        <v>0</v>
      </c>
      <c r="E117" s="438">
        <v>0</v>
      </c>
      <c r="F117" s="438">
        <v>0</v>
      </c>
      <c r="G117" s="438">
        <v>18185510</v>
      </c>
    </row>
  </sheetData>
  <mergeCells count="1">
    <mergeCell ref="I107:K108"/>
  </mergeCells>
  <pageMargins left="0.70866141732283472" right="0.70866141732283472" top="0.94488188976377963" bottom="0.35433070866141736" header="0.31496062992125984" footer="0.31496062992125984"/>
  <pageSetup paperSize="9" scale="65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"/>
  <sheetViews>
    <sheetView topLeftCell="A23" workbookViewId="0">
      <selection activeCell="G99" sqref="G99"/>
    </sheetView>
  </sheetViews>
  <sheetFormatPr defaultRowHeight="15"/>
  <cols>
    <col min="1" max="1" width="37.42578125" customWidth="1"/>
    <col min="2" max="2" width="14.28515625" style="205" bestFit="1" customWidth="1"/>
    <col min="3" max="3" width="23.42578125" style="52" customWidth="1"/>
    <col min="4" max="4" width="15.28515625" style="205" bestFit="1" customWidth="1"/>
    <col min="5" max="5" width="27.28515625" style="52" customWidth="1"/>
    <col min="6" max="6" width="12.5703125" bestFit="1" customWidth="1"/>
  </cols>
  <sheetData>
    <row r="1" spans="1:5" ht="18.75">
      <c r="A1" s="436" t="s">
        <v>407</v>
      </c>
    </row>
    <row r="2" spans="1:5" ht="18.75">
      <c r="A2" s="194"/>
    </row>
    <row r="3" spans="1:5" s="251" customFormat="1" ht="15.75">
      <c r="B3" s="252" t="s">
        <v>409</v>
      </c>
      <c r="C3" s="251" t="s">
        <v>408</v>
      </c>
      <c r="D3" s="252" t="s">
        <v>410</v>
      </c>
      <c r="E3" s="251" t="s">
        <v>411</v>
      </c>
    </row>
    <row r="4" spans="1:5">
      <c r="A4" s="288" t="s">
        <v>65</v>
      </c>
      <c r="B4" s="280">
        <f>'Jur-kum'!C4</f>
        <v>1208179000</v>
      </c>
      <c r="C4" s="281" t="s">
        <v>271</v>
      </c>
      <c r="D4" s="284">
        <f>SUM(B4:B6)</f>
        <v>1832958640</v>
      </c>
      <c r="E4" s="532" t="s">
        <v>65</v>
      </c>
    </row>
    <row r="5" spans="1:5">
      <c r="A5" s="288"/>
      <c r="B5" s="318">
        <f>'Jur-kum'!C5</f>
        <v>315758640</v>
      </c>
      <c r="C5" s="281" t="s">
        <v>11</v>
      </c>
      <c r="D5" s="284"/>
      <c r="E5" s="532"/>
    </row>
    <row r="6" spans="1:5">
      <c r="A6" s="288"/>
      <c r="B6" s="318">
        <f>'Jur-kum'!C7</f>
        <v>309021000</v>
      </c>
      <c r="C6" s="281" t="s">
        <v>66</v>
      </c>
      <c r="D6" s="284"/>
      <c r="E6" s="532"/>
    </row>
    <row r="7" spans="1:5">
      <c r="A7" s="288" t="s">
        <v>67</v>
      </c>
      <c r="B7" s="318">
        <f>'Jur-kum'!C8+'Jur-kum'!C9</f>
        <v>39123375</v>
      </c>
      <c r="C7" s="281" t="s">
        <v>271</v>
      </c>
      <c r="D7" s="284">
        <f>SUM(B7:B8)</f>
        <v>63128375</v>
      </c>
      <c r="E7" s="532" t="s">
        <v>67</v>
      </c>
    </row>
    <row r="8" spans="1:5">
      <c r="A8" s="288"/>
      <c r="B8" s="318">
        <f>'Jur-kum'!C10</f>
        <v>24005000</v>
      </c>
      <c r="C8" s="281" t="s">
        <v>11</v>
      </c>
      <c r="D8" s="284"/>
      <c r="E8" s="532"/>
    </row>
    <row r="9" spans="1:5">
      <c r="A9" s="288" t="s">
        <v>69</v>
      </c>
      <c r="B9" s="531">
        <f>SUM(D9:D10)</f>
        <v>87569182</v>
      </c>
      <c r="C9" s="532" t="s">
        <v>11</v>
      </c>
      <c r="D9" s="283">
        <f>'Jur-kum'!C12</f>
        <v>68421105</v>
      </c>
      <c r="E9" s="281" t="s">
        <v>100</v>
      </c>
    </row>
    <row r="10" spans="1:5">
      <c r="A10" s="288"/>
      <c r="B10" s="531"/>
      <c r="C10" s="532"/>
      <c r="D10" s="283">
        <f>'Jur-kum'!C11</f>
        <v>19148077</v>
      </c>
      <c r="E10" s="281" t="s">
        <v>101</v>
      </c>
    </row>
    <row r="11" spans="1:5" ht="15.75">
      <c r="A11" s="288" t="s">
        <v>70</v>
      </c>
      <c r="B11" s="318">
        <f>'Jur-kum'!C13</f>
        <v>12860000</v>
      </c>
      <c r="C11" s="532" t="s">
        <v>271</v>
      </c>
      <c r="D11" s="533">
        <f>SUM(B11:B16)</f>
        <v>30342500</v>
      </c>
      <c r="E11" s="289" t="s">
        <v>276</v>
      </c>
    </row>
    <row r="12" spans="1:5" ht="15.75">
      <c r="A12" s="288"/>
      <c r="B12" s="318">
        <f>'Jur-kum'!C14</f>
        <v>3607500</v>
      </c>
      <c r="C12" s="532"/>
      <c r="D12" s="533"/>
      <c r="E12" s="289" t="s">
        <v>277</v>
      </c>
    </row>
    <row r="13" spans="1:5" ht="15.75">
      <c r="A13" s="288"/>
      <c r="B13" s="318">
        <f>'Jur-kum'!H15</f>
        <v>0</v>
      </c>
      <c r="C13" s="532"/>
      <c r="D13" s="533"/>
      <c r="E13" s="289" t="s">
        <v>278</v>
      </c>
    </row>
    <row r="14" spans="1:5" ht="15.75">
      <c r="A14" s="288"/>
      <c r="B14" s="318">
        <f>'Jur-kum'!C16</f>
        <v>1255000</v>
      </c>
      <c r="C14" s="532"/>
      <c r="D14" s="533"/>
      <c r="E14" s="289" t="s">
        <v>279</v>
      </c>
    </row>
    <row r="15" spans="1:5" ht="15.75">
      <c r="A15" s="288"/>
      <c r="B15" s="318">
        <f>'Jur-kum'!C17</f>
        <v>11660000</v>
      </c>
      <c r="C15" s="532"/>
      <c r="D15" s="533"/>
      <c r="E15" s="289" t="s">
        <v>280</v>
      </c>
    </row>
    <row r="16" spans="1:5" ht="15.75">
      <c r="A16" s="288"/>
      <c r="B16" s="318">
        <v>960000</v>
      </c>
      <c r="C16" s="293" t="s">
        <v>11</v>
      </c>
      <c r="D16" s="533"/>
      <c r="E16" s="289" t="s">
        <v>486</v>
      </c>
    </row>
    <row r="17" spans="1:6">
      <c r="A17" s="288" t="s">
        <v>412</v>
      </c>
      <c r="B17" s="318">
        <f>'Jur-kum'!C20</f>
        <v>-327040</v>
      </c>
      <c r="C17" s="282" t="s">
        <v>11</v>
      </c>
      <c r="D17" s="534">
        <f>SUM(B17:B21)</f>
        <v>7717988</v>
      </c>
      <c r="E17" s="532" t="s">
        <v>413</v>
      </c>
      <c r="F17" s="255"/>
    </row>
    <row r="18" spans="1:6">
      <c r="A18" s="288"/>
      <c r="B18" s="318">
        <f>'Jur-kum'!C21</f>
        <v>8370028</v>
      </c>
      <c r="C18" s="282" t="s">
        <v>281</v>
      </c>
      <c r="D18" s="534"/>
      <c r="E18" s="532"/>
    </row>
    <row r="19" spans="1:6">
      <c r="A19" s="288"/>
      <c r="B19" s="318">
        <f>'Jur-kum'!C22</f>
        <v>-150000</v>
      </c>
      <c r="C19" s="282" t="s">
        <v>367</v>
      </c>
      <c r="D19" s="534"/>
      <c r="E19" s="532"/>
    </row>
    <row r="20" spans="1:6">
      <c r="A20" s="288"/>
      <c r="B20" s="318">
        <f>'Jur-kum'!C23</f>
        <v>-175000</v>
      </c>
      <c r="C20" s="282" t="s">
        <v>406</v>
      </c>
      <c r="D20" s="534"/>
      <c r="E20" s="532"/>
    </row>
    <row r="21" spans="1:6">
      <c r="A21" s="288"/>
      <c r="B21" s="318">
        <f>'Jur-kum'!H24</f>
        <v>0</v>
      </c>
      <c r="C21" s="282" t="s">
        <v>286</v>
      </c>
      <c r="D21" s="534"/>
      <c r="E21" s="532"/>
      <c r="F21" s="255"/>
    </row>
    <row r="22" spans="1:6">
      <c r="A22" s="288" t="s">
        <v>471</v>
      </c>
      <c r="B22" s="318">
        <f>'Jur-kum'!C116</f>
        <v>2860000</v>
      </c>
      <c r="C22" s="282" t="s">
        <v>271</v>
      </c>
      <c r="D22" s="280">
        <f>B22</f>
        <v>2860000</v>
      </c>
      <c r="E22" s="282" t="s">
        <v>399</v>
      </c>
      <c r="F22" s="255"/>
    </row>
    <row r="23" spans="1:6">
      <c r="A23" s="288" t="s">
        <v>574</v>
      </c>
      <c r="B23" s="318"/>
      <c r="C23" s="384"/>
      <c r="D23" s="280"/>
      <c r="E23" s="384"/>
      <c r="F23" s="255"/>
    </row>
    <row r="24" spans="1:6">
      <c r="A24" s="288" t="s">
        <v>414</v>
      </c>
      <c r="B24" s="318">
        <f>'Jur-kum'!C26</f>
        <v>55850000</v>
      </c>
      <c r="C24" s="281" t="s">
        <v>271</v>
      </c>
      <c r="D24" s="284">
        <f>SUM(B24:B25)</f>
        <v>293711000</v>
      </c>
      <c r="E24" s="532" t="s">
        <v>66</v>
      </c>
    </row>
    <row r="25" spans="1:6">
      <c r="A25" s="288"/>
      <c r="B25" s="318">
        <f>'Jur-kum'!C27</f>
        <v>237861000</v>
      </c>
      <c r="C25" s="281" t="s">
        <v>11</v>
      </c>
      <c r="D25" s="284"/>
      <c r="E25" s="532"/>
    </row>
    <row r="26" spans="1:6">
      <c r="A26" s="288" t="s">
        <v>415</v>
      </c>
      <c r="B26" s="318">
        <f>'Jur-kum'!C109</f>
        <v>182950000</v>
      </c>
      <c r="C26" s="282" t="s">
        <v>271</v>
      </c>
      <c r="D26" s="283">
        <f t="shared" ref="D26:D33" si="0">B26</f>
        <v>182950000</v>
      </c>
      <c r="E26" s="282" t="s">
        <v>417</v>
      </c>
    </row>
    <row r="27" spans="1:6">
      <c r="A27" s="288" t="s">
        <v>416</v>
      </c>
      <c r="B27" s="318">
        <f>'Jur-kum'!C110</f>
        <v>43272676</v>
      </c>
      <c r="C27" s="282" t="s">
        <v>417</v>
      </c>
      <c r="D27" s="283">
        <f t="shared" si="0"/>
        <v>43272676</v>
      </c>
      <c r="E27" s="282" t="s">
        <v>271</v>
      </c>
    </row>
    <row r="28" spans="1:6">
      <c r="A28" s="288" t="s">
        <v>416</v>
      </c>
      <c r="B28" s="318">
        <f>'Jur-kum'!H89</f>
        <v>0</v>
      </c>
      <c r="C28" s="293" t="s">
        <v>417</v>
      </c>
      <c r="D28" s="283"/>
      <c r="E28" s="293"/>
    </row>
    <row r="29" spans="1:6">
      <c r="A29" s="288" t="s">
        <v>416</v>
      </c>
      <c r="B29" s="318">
        <f>'Jur-kum'!C88</f>
        <v>29193837</v>
      </c>
      <c r="C29" s="282" t="s">
        <v>417</v>
      </c>
      <c r="D29" s="283">
        <f>B28+B29</f>
        <v>29193837</v>
      </c>
      <c r="E29" s="282" t="s">
        <v>178</v>
      </c>
    </row>
    <row r="30" spans="1:6">
      <c r="A30" s="288" t="s">
        <v>418</v>
      </c>
      <c r="B30" s="318">
        <f>'Jur-kum'!C112</f>
        <v>37361380</v>
      </c>
      <c r="C30" s="281" t="s">
        <v>419</v>
      </c>
      <c r="D30" s="283">
        <f t="shared" si="0"/>
        <v>37361380</v>
      </c>
      <c r="E30" s="281" t="s">
        <v>271</v>
      </c>
    </row>
    <row r="31" spans="1:6">
      <c r="A31" s="288"/>
      <c r="B31" s="318">
        <f>'Jur-kum'!C113</f>
        <v>10300000</v>
      </c>
      <c r="C31" s="281" t="s">
        <v>419</v>
      </c>
      <c r="D31" s="283">
        <f>B31</f>
        <v>10300000</v>
      </c>
      <c r="E31" s="281" t="s">
        <v>367</v>
      </c>
    </row>
    <row r="32" spans="1:6">
      <c r="A32" s="288" t="s">
        <v>420</v>
      </c>
      <c r="B32" s="318">
        <f>'Jur-kum'!C30</f>
        <v>6424500</v>
      </c>
      <c r="C32" s="281" t="s">
        <v>422</v>
      </c>
      <c r="D32" s="283">
        <f t="shared" si="0"/>
        <v>6424500</v>
      </c>
      <c r="E32" s="532" t="s">
        <v>271</v>
      </c>
    </row>
    <row r="33" spans="1:6">
      <c r="A33" s="288" t="s">
        <v>421</v>
      </c>
      <c r="B33" s="318">
        <f>SUM('Jur-kum'!C31:C36)</f>
        <v>43267275</v>
      </c>
      <c r="C33" s="281" t="s">
        <v>423</v>
      </c>
      <c r="D33" s="283">
        <f t="shared" si="0"/>
        <v>43267275</v>
      </c>
      <c r="E33" s="532"/>
    </row>
    <row r="34" spans="1:6">
      <c r="A34" s="288" t="s">
        <v>428</v>
      </c>
      <c r="B34" s="531">
        <f>SUM(D34:D41)</f>
        <v>343168302</v>
      </c>
      <c r="C34" s="532" t="s">
        <v>428</v>
      </c>
      <c r="D34" s="283">
        <f>'Jur-kum'!C39</f>
        <v>294068967</v>
      </c>
      <c r="E34" s="281" t="s">
        <v>367</v>
      </c>
    </row>
    <row r="35" spans="1:6">
      <c r="A35" s="288"/>
      <c r="B35" s="531"/>
      <c r="C35" s="532"/>
      <c r="D35" s="283">
        <f>'Jur-kum'!C41+'Jur-kum'!C42+'Jur-kum'!C43</f>
        <v>29809335</v>
      </c>
      <c r="E35" s="281" t="s">
        <v>271</v>
      </c>
    </row>
    <row r="36" spans="1:6">
      <c r="A36" s="288"/>
      <c r="B36" s="531"/>
      <c r="C36" s="532"/>
      <c r="D36" s="283"/>
      <c r="E36" s="281" t="s">
        <v>11</v>
      </c>
    </row>
    <row r="37" spans="1:6">
      <c r="A37" s="288"/>
      <c r="B37" s="531"/>
      <c r="C37" s="532"/>
      <c r="D37" s="283">
        <f>'Jur-kum'!C40</f>
        <v>19290000</v>
      </c>
      <c r="E37" s="281" t="s">
        <v>424</v>
      </c>
      <c r="F37" s="255"/>
    </row>
    <row r="38" spans="1:6">
      <c r="A38" s="288"/>
      <c r="B38" s="531"/>
      <c r="C38" s="532"/>
      <c r="D38" s="283"/>
      <c r="E38" s="281" t="s">
        <v>425</v>
      </c>
    </row>
    <row r="39" spans="1:6">
      <c r="A39" s="288"/>
      <c r="B39" s="531"/>
      <c r="C39" s="532"/>
      <c r="D39" s="283"/>
      <c r="E39" s="281" t="s">
        <v>377</v>
      </c>
    </row>
    <row r="40" spans="1:6">
      <c r="A40" s="288"/>
      <c r="B40" s="531"/>
      <c r="C40" s="532"/>
      <c r="D40" s="283"/>
      <c r="E40" s="281" t="s">
        <v>426</v>
      </c>
    </row>
    <row r="41" spans="1:6">
      <c r="A41" s="288"/>
      <c r="B41" s="531"/>
      <c r="C41" s="532"/>
      <c r="D41" s="283"/>
      <c r="E41" s="281" t="s">
        <v>427</v>
      </c>
    </row>
    <row r="42" spans="1:6">
      <c r="A42" s="288" t="s">
        <v>303</v>
      </c>
      <c r="B42" s="531">
        <f>SUM(D42:D43)</f>
        <v>36470144</v>
      </c>
      <c r="C42" s="532" t="s">
        <v>429</v>
      </c>
      <c r="D42" s="283"/>
      <c r="E42" s="281" t="s">
        <v>11</v>
      </c>
    </row>
    <row r="43" spans="1:6">
      <c r="A43" s="288"/>
      <c r="B43" s="531"/>
      <c r="C43" s="532"/>
      <c r="D43" s="283">
        <f>'Jur-kum'!C55+'Jur-kum'!C65+'Jur-kum'!C66+'Jur-kum'!C67</f>
        <v>36470144</v>
      </c>
      <c r="E43" s="281" t="s">
        <v>271</v>
      </c>
    </row>
    <row r="44" spans="1:6">
      <c r="A44" s="288" t="s">
        <v>304</v>
      </c>
      <c r="B44" s="318">
        <f>'Jur-kum'!C56</f>
        <v>388556925</v>
      </c>
      <c r="C44" s="281" t="str">
        <f>A44</f>
        <v>Biaya FnB</v>
      </c>
      <c r="D44" s="284">
        <f>SUM(B44:B49)</f>
        <v>634382519</v>
      </c>
      <c r="E44" s="532" t="s">
        <v>271</v>
      </c>
    </row>
    <row r="45" spans="1:6">
      <c r="A45" s="288" t="s">
        <v>430</v>
      </c>
      <c r="B45" s="318">
        <f>'Jur-kum'!C57</f>
        <v>32198257</v>
      </c>
      <c r="C45" s="281" t="str">
        <f t="shared" ref="C45:C49" si="1">A45</f>
        <v xml:space="preserve">Biaya HK </v>
      </c>
      <c r="D45" s="284"/>
      <c r="E45" s="532"/>
    </row>
    <row r="46" spans="1:6">
      <c r="A46" s="288" t="s">
        <v>306</v>
      </c>
      <c r="B46" s="318">
        <f>'Jur-kum'!C58</f>
        <v>54811800</v>
      </c>
      <c r="C46" s="281" t="str">
        <f t="shared" si="1"/>
        <v>Biaya Engineering</v>
      </c>
      <c r="D46" s="284"/>
      <c r="E46" s="532"/>
    </row>
    <row r="47" spans="1:6">
      <c r="A47" s="288" t="s">
        <v>431</v>
      </c>
      <c r="B47" s="318">
        <f>'Jur-kum'!C60+'Jur-kum'!C61+'Jur-kum'!C62</f>
        <v>139569992</v>
      </c>
      <c r="C47" s="281" t="str">
        <f t="shared" si="1"/>
        <v>Biaya Listrik Telpon &amp; Wifi</v>
      </c>
      <c r="D47" s="284"/>
      <c r="E47" s="532"/>
    </row>
    <row r="48" spans="1:6">
      <c r="A48" s="288" t="s">
        <v>432</v>
      </c>
      <c r="B48" s="318">
        <f>'Jur-kum'!C63+'Jur-kum'!C64</f>
        <v>17207055</v>
      </c>
      <c r="C48" s="281" t="str">
        <f t="shared" si="1"/>
        <v>Biaya BPJS</v>
      </c>
      <c r="D48" s="284"/>
      <c r="E48" s="532"/>
    </row>
    <row r="49" spans="1:5">
      <c r="A49" s="288" t="s">
        <v>307</v>
      </c>
      <c r="B49" s="318">
        <f>'Jur-kum'!C59</f>
        <v>2038490</v>
      </c>
      <c r="C49" s="281" t="str">
        <f t="shared" si="1"/>
        <v>Biaya Marketing</v>
      </c>
      <c r="D49" s="284"/>
      <c r="E49" s="532"/>
    </row>
    <row r="50" spans="1:5">
      <c r="A50" s="288" t="s">
        <v>433</v>
      </c>
      <c r="B50" s="425">
        <f>SUM(D50:D50)</f>
        <v>1215478</v>
      </c>
      <c r="C50" s="282" t="s">
        <v>433</v>
      </c>
      <c r="D50" s="283">
        <f>'Jur-kum'!C68</f>
        <v>1215478</v>
      </c>
      <c r="E50" s="281" t="s">
        <v>271</v>
      </c>
    </row>
    <row r="51" spans="1:5">
      <c r="A51" t="s">
        <v>467</v>
      </c>
      <c r="B51" s="426">
        <f>'Jur-kum'!C70+'Jur-kum'!C71+D53</f>
        <v>34470000</v>
      </c>
      <c r="C51" s="277" t="s">
        <v>385</v>
      </c>
      <c r="D51" s="205">
        <f>'Jur-kum'!C70</f>
        <v>7170000</v>
      </c>
      <c r="E51" s="52" t="s">
        <v>271</v>
      </c>
    </row>
    <row r="52" spans="1:5">
      <c r="B52" s="426"/>
      <c r="C52" s="277"/>
      <c r="D52" s="205">
        <f>'Jur-kum'!C71</f>
        <v>21650000</v>
      </c>
      <c r="E52" s="52" t="s">
        <v>11</v>
      </c>
    </row>
    <row r="53" spans="1:5">
      <c r="B53" s="426"/>
      <c r="C53" s="455"/>
      <c r="D53" s="205">
        <f>'Jur-kum'!H72</f>
        <v>5650000</v>
      </c>
      <c r="E53" s="52" t="s">
        <v>367</v>
      </c>
    </row>
    <row r="54" spans="1:5">
      <c r="A54" t="s">
        <v>347</v>
      </c>
      <c r="B54" s="426">
        <f>'Jur-kum'!C69</f>
        <v>4965430</v>
      </c>
      <c r="C54" s="350" t="s">
        <v>347</v>
      </c>
      <c r="D54" s="205">
        <f>B54</f>
        <v>4965430</v>
      </c>
      <c r="E54" s="52" t="s">
        <v>271</v>
      </c>
    </row>
    <row r="55" spans="1:5">
      <c r="A55" t="s">
        <v>475</v>
      </c>
      <c r="B55" s="426">
        <f>'Jur-kum'!C76</f>
        <v>22137450</v>
      </c>
      <c r="C55" s="277" t="s">
        <v>478</v>
      </c>
      <c r="D55" s="205">
        <f>B55</f>
        <v>22137450</v>
      </c>
      <c r="E55" s="52" t="s">
        <v>271</v>
      </c>
    </row>
    <row r="56" spans="1:5">
      <c r="A56" t="s">
        <v>569</v>
      </c>
      <c r="B56" s="426">
        <f>'Jur-kum'!C74</f>
        <v>11841600</v>
      </c>
      <c r="C56" s="350" t="s">
        <v>668</v>
      </c>
      <c r="D56" s="205">
        <f>B56</f>
        <v>11841600</v>
      </c>
      <c r="E56" s="52" t="s">
        <v>271</v>
      </c>
    </row>
    <row r="57" spans="1:5">
      <c r="A57" t="s">
        <v>434</v>
      </c>
      <c r="B57" s="260">
        <f>'Jur-kum'!C51</f>
        <v>2050000</v>
      </c>
      <c r="C57" s="52" t="s">
        <v>480</v>
      </c>
      <c r="D57" s="205">
        <f>B57</f>
        <v>2050000</v>
      </c>
      <c r="E57" s="52" t="s">
        <v>481</v>
      </c>
    </row>
    <row r="58" spans="1:5">
      <c r="A58" t="s">
        <v>435</v>
      </c>
      <c r="B58" s="260"/>
    </row>
    <row r="59" spans="1:5">
      <c r="A59" t="s">
        <v>436</v>
      </c>
      <c r="B59" s="260">
        <f>'Jur-kum'!C52</f>
        <v>3256925</v>
      </c>
      <c r="C59" s="52" t="s">
        <v>441</v>
      </c>
      <c r="D59" s="205">
        <f>B59</f>
        <v>3256925</v>
      </c>
      <c r="E59" s="52" t="s">
        <v>271</v>
      </c>
    </row>
    <row r="60" spans="1:5">
      <c r="B60" s="260">
        <f>'Jur-kum'!C53</f>
        <v>1000000</v>
      </c>
      <c r="C60" s="52" t="s">
        <v>441</v>
      </c>
      <c r="D60" s="205">
        <f>B60</f>
        <v>1000000</v>
      </c>
      <c r="E60" s="52" t="s">
        <v>367</v>
      </c>
    </row>
    <row r="61" spans="1:5">
      <c r="A61" t="s">
        <v>437</v>
      </c>
      <c r="B61" s="260"/>
    </row>
    <row r="62" spans="1:5">
      <c r="A62" t="s">
        <v>438</v>
      </c>
      <c r="B62" s="260"/>
    </row>
    <row r="63" spans="1:5">
      <c r="A63" t="s">
        <v>439</v>
      </c>
      <c r="B63" s="260"/>
    </row>
    <row r="64" spans="1:5">
      <c r="A64" t="s">
        <v>317</v>
      </c>
      <c r="B64" s="427">
        <f>SUM(D64:D65)</f>
        <v>116489627</v>
      </c>
      <c r="C64" s="535" t="s">
        <v>442</v>
      </c>
      <c r="D64" s="205">
        <f>'Jur-kum'!C77</f>
        <v>99596881</v>
      </c>
      <c r="E64" s="52" t="s">
        <v>271</v>
      </c>
    </row>
    <row r="65" spans="1:5">
      <c r="B65" s="427"/>
      <c r="C65" s="535"/>
      <c r="D65" s="205">
        <f>'Jur-kum'!C78</f>
        <v>16892746</v>
      </c>
      <c r="E65" s="52" t="s">
        <v>11</v>
      </c>
    </row>
    <row r="66" spans="1:5">
      <c r="B66" s="427"/>
      <c r="C66" s="430"/>
    </row>
    <row r="67" spans="1:5">
      <c r="B67" s="427"/>
      <c r="C67" s="430"/>
    </row>
    <row r="68" spans="1:5">
      <c r="B68" s="427"/>
      <c r="C68" s="434"/>
    </row>
    <row r="69" spans="1:5">
      <c r="A69" t="s">
        <v>318</v>
      </c>
      <c r="B69" s="428">
        <f>SUM(D69:D71)</f>
        <v>374157433</v>
      </c>
      <c r="C69" s="535" t="s">
        <v>444</v>
      </c>
      <c r="D69" s="205">
        <f>'Jur-kum'!C79</f>
        <v>319855382</v>
      </c>
      <c r="E69" s="52" t="s">
        <v>271</v>
      </c>
    </row>
    <row r="70" spans="1:5">
      <c r="B70" s="428"/>
      <c r="C70" s="535"/>
      <c r="D70" s="205">
        <f>'Jur-kum'!C80</f>
        <v>34802051</v>
      </c>
      <c r="E70" s="52" t="s">
        <v>11</v>
      </c>
    </row>
    <row r="71" spans="1:5">
      <c r="B71" s="428"/>
      <c r="C71" s="422"/>
      <c r="D71" s="205">
        <f>'Jur-kum'!C81</f>
        <v>19500000</v>
      </c>
      <c r="E71" s="52" t="s">
        <v>367</v>
      </c>
    </row>
    <row r="72" spans="1:5">
      <c r="A72" s="258" t="s">
        <v>297</v>
      </c>
      <c r="B72" s="260">
        <f>'Jur-kum'!C50</f>
        <v>17250000</v>
      </c>
      <c r="C72" s="259" t="s">
        <v>386</v>
      </c>
      <c r="D72" s="260">
        <f>B72</f>
        <v>17250000</v>
      </c>
      <c r="E72" s="259" t="s">
        <v>271</v>
      </c>
    </row>
    <row r="73" spans="1:5">
      <c r="A73" t="s">
        <v>440</v>
      </c>
      <c r="B73" s="260">
        <f>'Jur-kum'!C84</f>
        <v>77150000</v>
      </c>
      <c r="C73" s="253" t="s">
        <v>271</v>
      </c>
      <c r="D73" s="205">
        <f>B73</f>
        <v>77150000</v>
      </c>
      <c r="E73" s="34" t="s">
        <v>11</v>
      </c>
    </row>
    <row r="74" spans="1:5">
      <c r="B74" s="260">
        <f>'Jur-kum'!C85</f>
        <v>20000000</v>
      </c>
      <c r="C74" s="253" t="s">
        <v>271</v>
      </c>
      <c r="D74" s="205">
        <f>B74</f>
        <v>20000000</v>
      </c>
      <c r="E74" s="350" t="s">
        <v>281</v>
      </c>
    </row>
    <row r="75" spans="1:5">
      <c r="B75" s="260">
        <f>'Jur-kum'!C86</f>
        <v>192000000</v>
      </c>
      <c r="C75" s="253" t="s">
        <v>178</v>
      </c>
      <c r="D75" s="279">
        <f>B75+B76</f>
        <v>194000000</v>
      </c>
      <c r="E75" s="535" t="s">
        <v>271</v>
      </c>
    </row>
    <row r="76" spans="1:5">
      <c r="B76" s="260">
        <f>'Jur-kum'!C87</f>
        <v>2000000</v>
      </c>
      <c r="C76" s="253" t="s">
        <v>406</v>
      </c>
      <c r="D76" s="257"/>
      <c r="E76" s="535"/>
    </row>
    <row r="77" spans="1:5">
      <c r="B77" s="260">
        <f>'Jur-kum'!C90</f>
        <v>30000000</v>
      </c>
      <c r="C77" s="52" t="s">
        <v>367</v>
      </c>
      <c r="D77" s="205">
        <f>B77</f>
        <v>30000000</v>
      </c>
      <c r="E77" s="52" t="s">
        <v>11</v>
      </c>
    </row>
    <row r="78" spans="1:5">
      <c r="B78" s="260">
        <v>10000000</v>
      </c>
      <c r="C78" s="52" t="s">
        <v>487</v>
      </c>
      <c r="D78" s="205">
        <v>10000000</v>
      </c>
      <c r="E78" s="52" t="s">
        <v>11</v>
      </c>
    </row>
    <row r="79" spans="1:5">
      <c r="B79" s="260">
        <v>30000000</v>
      </c>
      <c r="C79" s="52" t="s">
        <v>377</v>
      </c>
      <c r="D79" s="205">
        <v>30000000</v>
      </c>
      <c r="E79" s="52" t="s">
        <v>367</v>
      </c>
    </row>
    <row r="80" spans="1:5">
      <c r="A80" t="s">
        <v>570</v>
      </c>
      <c r="B80" s="260">
        <v>500000000</v>
      </c>
      <c r="C80" s="52" t="s">
        <v>367</v>
      </c>
      <c r="D80" s="205">
        <v>500000000</v>
      </c>
      <c r="E80" s="52" t="s">
        <v>690</v>
      </c>
    </row>
    <row r="81" spans="1:5">
      <c r="B81" s="260">
        <v>190000000</v>
      </c>
      <c r="C81" s="52" t="s">
        <v>178</v>
      </c>
      <c r="D81" s="205">
        <f>B81</f>
        <v>190000000</v>
      </c>
      <c r="E81" s="52" t="s">
        <v>691</v>
      </c>
    </row>
    <row r="82" spans="1:5">
      <c r="B82" s="260">
        <v>400000000</v>
      </c>
      <c r="C82" s="52" t="s">
        <v>281</v>
      </c>
      <c r="D82" s="205">
        <f>B82</f>
        <v>400000000</v>
      </c>
      <c r="E82" s="52" t="s">
        <v>689</v>
      </c>
    </row>
    <row r="83" spans="1:5">
      <c r="A83" t="s">
        <v>399</v>
      </c>
      <c r="B83" s="260">
        <f>'Jur-kum'!C114</f>
        <v>6800000</v>
      </c>
      <c r="C83" s="52" t="s">
        <v>443</v>
      </c>
      <c r="D83" s="205">
        <f>B83</f>
        <v>6800000</v>
      </c>
      <c r="E83" s="52" t="s">
        <v>271</v>
      </c>
    </row>
    <row r="84" spans="1:5">
      <c r="A84" t="s">
        <v>669</v>
      </c>
      <c r="B84" s="278"/>
    </row>
    <row r="85" spans="1:5">
      <c r="A85" t="s">
        <v>670</v>
      </c>
      <c r="B85" s="278">
        <f>D85</f>
        <v>165000000</v>
      </c>
      <c r="C85" s="52" t="s">
        <v>671</v>
      </c>
      <c r="D85" s="205">
        <v>165000000</v>
      </c>
      <c r="E85" s="52" t="s">
        <v>281</v>
      </c>
    </row>
    <row r="86" spans="1:5">
      <c r="A86" t="s">
        <v>672</v>
      </c>
      <c r="B86" s="278">
        <f>D86</f>
        <v>150000000</v>
      </c>
      <c r="C86" s="52" t="s">
        <v>671</v>
      </c>
      <c r="D86" s="205">
        <v>150000000</v>
      </c>
      <c r="E86" s="52" t="s">
        <v>281</v>
      </c>
    </row>
    <row r="87" spans="1:5">
      <c r="A87" t="s">
        <v>673</v>
      </c>
      <c r="B87" s="278">
        <f>D87</f>
        <v>195000000</v>
      </c>
      <c r="C87" s="52" t="s">
        <v>671</v>
      </c>
      <c r="D87" s="205">
        <v>195000000</v>
      </c>
      <c r="E87" s="52" t="s">
        <v>178</v>
      </c>
    </row>
    <row r="88" spans="1:5">
      <c r="A88" t="s">
        <v>674</v>
      </c>
      <c r="B88" s="278">
        <f>D88</f>
        <v>135000000</v>
      </c>
      <c r="C88" s="52" t="s">
        <v>671</v>
      </c>
      <c r="D88" s="205">
        <v>135000000</v>
      </c>
      <c r="E88" s="52" t="s">
        <v>178</v>
      </c>
    </row>
    <row r="89" spans="1:5">
      <c r="A89" t="s">
        <v>675</v>
      </c>
      <c r="B89" s="278">
        <f>D89</f>
        <v>217500000</v>
      </c>
      <c r="C89" s="52" t="s">
        <v>671</v>
      </c>
      <c r="D89" s="205">
        <v>217500000</v>
      </c>
      <c r="E89" s="52" t="s">
        <v>178</v>
      </c>
    </row>
    <row r="90" spans="1:5">
      <c r="A90" t="s">
        <v>676</v>
      </c>
      <c r="B90" s="205">
        <v>150000000</v>
      </c>
      <c r="C90" s="52" t="s">
        <v>671</v>
      </c>
      <c r="D90" s="205">
        <v>150000000</v>
      </c>
      <c r="E90" s="52" t="s">
        <v>370</v>
      </c>
    </row>
    <row r="91" spans="1:5">
      <c r="A91" t="s">
        <v>677</v>
      </c>
      <c r="B91" s="205">
        <v>37500000</v>
      </c>
      <c r="C91" s="52" t="s">
        <v>678</v>
      </c>
      <c r="D91" s="205">
        <f>B91</f>
        <v>37500000</v>
      </c>
      <c r="E91" s="52" t="s">
        <v>679</v>
      </c>
    </row>
    <row r="92" spans="1:5">
      <c r="A92" t="s">
        <v>572</v>
      </c>
      <c r="B92" s="278">
        <v>3625000</v>
      </c>
      <c r="C92" s="52" t="s">
        <v>668</v>
      </c>
      <c r="D92" s="205">
        <f>B92</f>
        <v>3625000</v>
      </c>
      <c r="E92" s="52" t="s">
        <v>178</v>
      </c>
    </row>
    <row r="93" spans="1:5">
      <c r="A93" t="s">
        <v>666</v>
      </c>
      <c r="B93" s="205">
        <v>385098</v>
      </c>
      <c r="C93" s="52" t="s">
        <v>667</v>
      </c>
      <c r="D93" s="205">
        <f>B94+B93</f>
        <v>30385098</v>
      </c>
      <c r="E93" s="52" t="s">
        <v>367</v>
      </c>
    </row>
    <row r="94" spans="1:5">
      <c r="B94" s="205">
        <v>30000000</v>
      </c>
      <c r="C94" s="52" t="s">
        <v>426</v>
      </c>
    </row>
    <row r="95" spans="1:5">
      <c r="A95" t="s">
        <v>1480</v>
      </c>
      <c r="B95" s="278">
        <f>'Jur-kum'!H82</f>
        <v>15466600</v>
      </c>
      <c r="C95" s="52" t="s">
        <v>281</v>
      </c>
      <c r="D95" s="205">
        <f>B95</f>
        <v>15466600</v>
      </c>
      <c r="E95" s="52" t="s">
        <v>1485</v>
      </c>
    </row>
    <row r="96" spans="1:5">
      <c r="A96" t="s">
        <v>1486</v>
      </c>
      <c r="B96" s="278">
        <f>'Jur-kum'!H73</f>
        <v>86007362</v>
      </c>
      <c r="C96" s="52" t="s">
        <v>1487</v>
      </c>
      <c r="D96" s="205">
        <f>B96</f>
        <v>86007362</v>
      </c>
      <c r="E96" s="52" t="s">
        <v>271</v>
      </c>
    </row>
    <row r="97" spans="1:5">
      <c r="A97" t="s">
        <v>1488</v>
      </c>
      <c r="B97" s="278">
        <f>'Jur-kum'!C117</f>
        <v>18185510</v>
      </c>
      <c r="C97" s="52" t="s">
        <v>487</v>
      </c>
      <c r="D97" s="205">
        <f>B97</f>
        <v>18185510</v>
      </c>
      <c r="E97" s="52" t="s">
        <v>399</v>
      </c>
    </row>
    <row r="98" spans="1:5">
      <c r="B98" s="278">
        <f>SUM(B4:B97)</f>
        <v>6935531831</v>
      </c>
      <c r="C98" s="205">
        <f>SUM(C2:C83)</f>
        <v>0</v>
      </c>
      <c r="D98" s="278">
        <f>SUM(D4:D97)</f>
        <v>6935531831</v>
      </c>
    </row>
    <row r="100" spans="1:5">
      <c r="D100" s="278"/>
    </row>
    <row r="102" spans="1:5">
      <c r="C102" s="52" t="s">
        <v>15</v>
      </c>
      <c r="D102" s="205">
        <f>D4+D7+D9+D10+D11+D17</f>
        <v>2021716685</v>
      </c>
      <c r="E102" s="254">
        <f>D102-'Jur-kum'!C25</f>
        <v>0</v>
      </c>
    </row>
    <row r="103" spans="1:5">
      <c r="C103" s="52" t="s">
        <v>448</v>
      </c>
      <c r="D103" s="205">
        <f>B32+B33</f>
        <v>49691775</v>
      </c>
    </row>
    <row r="104" spans="1:5">
      <c r="C104" s="52" t="s">
        <v>449</v>
      </c>
      <c r="D104" s="205">
        <f>B34+B42+B44+B45+B46+B47+B48+B49+B50+B55+B54+B93</f>
        <v>1042724421</v>
      </c>
    </row>
    <row r="106" spans="1:5">
      <c r="B106" s="205">
        <f>B5+B8+B9+B16+B17+B25</f>
        <v>665826782</v>
      </c>
      <c r="C106" s="52" t="s">
        <v>11</v>
      </c>
      <c r="D106" s="205">
        <f>D52+D65+D70+D73+D77+D78</f>
        <v>190494797</v>
      </c>
    </row>
    <row r="107" spans="1:5">
      <c r="B107" s="205">
        <f>B4+B7+B11+B12+B15+B22+B24+B26+B73+B74+B14</f>
        <v>1615494875</v>
      </c>
      <c r="C107" s="52" t="s">
        <v>271</v>
      </c>
      <c r="D107" s="205">
        <f>D27+D30+D32+D33+D35+D43+D44+D50+D51+D54+D55+D56+D57+D59+D64+D69+D72+D75+D83+D96</f>
        <v>1607134337</v>
      </c>
    </row>
    <row r="108" spans="1:5">
      <c r="B108" s="205">
        <f>B19+B75+B77+B80+B81</f>
        <v>911850000</v>
      </c>
      <c r="C108" s="52" t="s">
        <v>571</v>
      </c>
      <c r="D108" s="205">
        <f>D29+D34+D87+D88+D92+D31+D60+D79+D71+D89+D93+D53</f>
        <v>971222902</v>
      </c>
    </row>
  </sheetData>
  <mergeCells count="18">
    <mergeCell ref="C34:C41"/>
    <mergeCell ref="B34:B41"/>
    <mergeCell ref="C11:C15"/>
    <mergeCell ref="D17:D21"/>
    <mergeCell ref="E75:E76"/>
    <mergeCell ref="E44:E49"/>
    <mergeCell ref="C42:C43"/>
    <mergeCell ref="B42:B43"/>
    <mergeCell ref="C64:C65"/>
    <mergeCell ref="C69:C70"/>
    <mergeCell ref="B9:B10"/>
    <mergeCell ref="E4:E6"/>
    <mergeCell ref="E7:E8"/>
    <mergeCell ref="C9:C10"/>
    <mergeCell ref="E32:E33"/>
    <mergeCell ref="E17:E21"/>
    <mergeCell ref="E24:E25"/>
    <mergeCell ref="D11:D16"/>
  </mergeCells>
  <pageMargins left="0.70866141732283472" right="0.70866141732283472" top="0.35433070866141736" bottom="0.55118110236220474" header="0.31496062992125984" footer="0.31496062992125984"/>
  <pageSetup paperSize="9" scale="74" fitToHeight="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opLeftCell="A25" zoomScale="112" zoomScaleNormal="112" workbookViewId="0">
      <selection activeCell="F44" sqref="F44"/>
    </sheetView>
  </sheetViews>
  <sheetFormatPr defaultRowHeight="15"/>
  <cols>
    <col min="1" max="1" width="21" customWidth="1"/>
    <col min="2" max="2" width="15.28515625" customWidth="1"/>
    <col min="3" max="6" width="16.7109375" customWidth="1"/>
    <col min="7" max="7" width="15.28515625" style="205" bestFit="1" customWidth="1"/>
    <col min="8" max="8" width="14.28515625" bestFit="1" customWidth="1"/>
  </cols>
  <sheetData>
    <row r="1" spans="1:8">
      <c r="A1" s="21" t="s">
        <v>350</v>
      </c>
      <c r="B1" s="337"/>
      <c r="C1" s="337"/>
      <c r="D1" s="337"/>
      <c r="E1" s="337"/>
      <c r="F1" s="337"/>
    </row>
    <row r="2" spans="1:8">
      <c r="A2" s="21" t="s">
        <v>866</v>
      </c>
      <c r="B2" s="337"/>
      <c r="C2" s="337"/>
      <c r="D2" s="337"/>
      <c r="E2" s="337"/>
      <c r="F2" s="337"/>
    </row>
    <row r="3" spans="1:8">
      <c r="A3" s="21"/>
      <c r="B3" s="337"/>
      <c r="C3" s="337"/>
      <c r="D3" s="337"/>
      <c r="E3" s="337"/>
      <c r="F3" s="337"/>
    </row>
    <row r="4" spans="1:8">
      <c r="A4" s="337"/>
      <c r="B4" s="379" t="s">
        <v>7</v>
      </c>
      <c r="C4" s="54" t="s">
        <v>482</v>
      </c>
      <c r="D4" s="54" t="s">
        <v>476</v>
      </c>
      <c r="E4" s="54" t="s">
        <v>526</v>
      </c>
      <c r="F4" s="54" t="s">
        <v>651</v>
      </c>
      <c r="G4" s="378" t="s">
        <v>867</v>
      </c>
    </row>
    <row r="5" spans="1:8">
      <c r="A5" s="337" t="s">
        <v>65</v>
      </c>
      <c r="B5" s="339">
        <f>SUM(C5:M5)</f>
        <v>1832958640</v>
      </c>
      <c r="C5" s="32">
        <v>417498000</v>
      </c>
      <c r="D5" s="32">
        <v>341648000</v>
      </c>
      <c r="E5" s="32">
        <v>167081000</v>
      </c>
      <c r="F5" s="32">
        <v>240713640</v>
      </c>
      <c r="G5" s="205">
        <f>SUM('Jur-kum'!H4:H7)</f>
        <v>666018000</v>
      </c>
    </row>
    <row r="6" spans="1:8">
      <c r="A6" s="337" t="s">
        <v>67</v>
      </c>
      <c r="B6" s="339">
        <f t="shared" ref="B6:B9" si="0">SUM(C6:M6)</f>
        <v>63128375</v>
      </c>
      <c r="C6" s="32">
        <v>4890000</v>
      </c>
      <c r="D6" s="32">
        <v>5620000</v>
      </c>
      <c r="E6" s="32">
        <v>11415375</v>
      </c>
      <c r="F6" s="32">
        <v>37503000</v>
      </c>
      <c r="G6" s="205">
        <f>SUM('Jur-kum'!H8:H10)</f>
        <v>3700000</v>
      </c>
    </row>
    <row r="7" spans="1:8">
      <c r="A7" s="337" t="s">
        <v>69</v>
      </c>
      <c r="B7" s="339">
        <f t="shared" si="0"/>
        <v>87569182</v>
      </c>
      <c r="C7" s="32">
        <v>23278750</v>
      </c>
      <c r="D7" s="32">
        <v>801544</v>
      </c>
      <c r="E7" s="32">
        <v>3887863</v>
      </c>
      <c r="F7" s="32">
        <v>12570315</v>
      </c>
      <c r="G7" s="205">
        <f>'Jur-kum'!H11+'Jur-kum'!H12</f>
        <v>47030710</v>
      </c>
    </row>
    <row r="8" spans="1:8">
      <c r="A8" s="337" t="s">
        <v>70</v>
      </c>
      <c r="B8" s="339">
        <f t="shared" si="0"/>
        <v>30342500</v>
      </c>
      <c r="C8" s="32">
        <v>3626000</v>
      </c>
      <c r="D8" s="32">
        <v>5459500</v>
      </c>
      <c r="E8" s="32">
        <v>6490000</v>
      </c>
      <c r="F8" s="32">
        <v>9554000</v>
      </c>
      <c r="G8" s="205">
        <f>SUM('Jur-kum'!H13:H18)</f>
        <v>5213000</v>
      </c>
    </row>
    <row r="9" spans="1:8">
      <c r="A9" s="337" t="s">
        <v>351</v>
      </c>
      <c r="B9" s="339">
        <f t="shared" si="0"/>
        <v>7717988</v>
      </c>
      <c r="C9" s="32">
        <v>2605774</v>
      </c>
      <c r="D9" s="32">
        <v>2330184</v>
      </c>
      <c r="E9" s="32">
        <v>1168830</v>
      </c>
      <c r="F9" s="32">
        <v>782185</v>
      </c>
      <c r="G9" s="205">
        <f>SUM('Jur-kum'!H20:H24)</f>
        <v>831015</v>
      </c>
    </row>
    <row r="10" spans="1:8" ht="15.75" thickBot="1">
      <c r="A10" s="374" t="s">
        <v>352</v>
      </c>
      <c r="B10" s="431">
        <f>SUM(B5:B9)</f>
        <v>2021716685</v>
      </c>
      <c r="C10" s="432">
        <f>SUM(C5:C9)</f>
        <v>451898524</v>
      </c>
      <c r="D10" s="432">
        <f t="shared" ref="D10:G10" si="1">SUM(D5:D9)</f>
        <v>355859228</v>
      </c>
      <c r="E10" s="432">
        <f t="shared" si="1"/>
        <v>190043068</v>
      </c>
      <c r="F10" s="432">
        <v>301123140</v>
      </c>
      <c r="G10" s="432">
        <f t="shared" si="1"/>
        <v>722792725</v>
      </c>
    </row>
    <row r="11" spans="1:8">
      <c r="A11" s="337" t="s">
        <v>353</v>
      </c>
      <c r="B11" s="339">
        <f t="shared" ref="B11:B12" si="2">SUM(C11:M11)</f>
        <v>6424500</v>
      </c>
      <c r="C11" s="205">
        <v>1280000</v>
      </c>
      <c r="D11" s="205">
        <v>1703000</v>
      </c>
      <c r="E11" s="205">
        <v>900000</v>
      </c>
      <c r="F11" s="205">
        <v>2541500</v>
      </c>
      <c r="G11" s="205">
        <f>'Jur-kum'!H30</f>
        <v>0</v>
      </c>
    </row>
    <row r="12" spans="1:8">
      <c r="A12" s="337" t="s">
        <v>354</v>
      </c>
      <c r="B12" s="339">
        <f t="shared" si="2"/>
        <v>43267275</v>
      </c>
      <c r="C12" s="205">
        <v>15274501</v>
      </c>
      <c r="D12" s="205">
        <v>5738001</v>
      </c>
      <c r="E12" s="205">
        <v>13774027</v>
      </c>
      <c r="F12" s="205">
        <v>3677623</v>
      </c>
      <c r="G12" s="205">
        <f>SUM('Jur-kum'!H31:H36)</f>
        <v>4803123</v>
      </c>
    </row>
    <row r="13" spans="1:8" ht="15.75" thickBot="1">
      <c r="A13" s="383" t="s">
        <v>355</v>
      </c>
      <c r="B13" s="375">
        <f>B10-B11-B12</f>
        <v>1972024910</v>
      </c>
      <c r="C13" s="376">
        <f>C10-C11-C12</f>
        <v>435344023</v>
      </c>
      <c r="D13" s="376">
        <f t="shared" ref="D13:G13" si="3">D10-D11-D12</f>
        <v>348418227</v>
      </c>
      <c r="E13" s="376">
        <f t="shared" si="3"/>
        <v>175369041</v>
      </c>
      <c r="F13" s="376">
        <v>294904017</v>
      </c>
      <c r="G13" s="376">
        <f t="shared" si="3"/>
        <v>717989602</v>
      </c>
    </row>
    <row r="14" spans="1:8" ht="15.75" thickTop="1">
      <c r="A14" s="337"/>
      <c r="B14" s="338"/>
      <c r="C14" s="337"/>
      <c r="D14" s="337"/>
      <c r="E14" s="337"/>
      <c r="F14" s="337"/>
    </row>
    <row r="15" spans="1:8">
      <c r="A15" s="340" t="s">
        <v>356</v>
      </c>
      <c r="B15" s="341">
        <f>SUM(C15:M15)</f>
        <v>343553400</v>
      </c>
      <c r="C15" s="335">
        <v>74154172</v>
      </c>
      <c r="D15" s="335">
        <v>72153650</v>
      </c>
      <c r="E15" s="335">
        <v>65070937</v>
      </c>
      <c r="F15" s="335">
        <v>59422658</v>
      </c>
      <c r="G15" s="283">
        <f>SUM('Jur-kum'!H38:H47)</f>
        <v>72751983</v>
      </c>
    </row>
    <row r="16" spans="1:8">
      <c r="A16" s="342" t="s">
        <v>303</v>
      </c>
      <c r="B16" s="341">
        <f t="shared" ref="B16:B31" si="4">SUM(C16:M16)</f>
        <v>23547494</v>
      </c>
      <c r="C16" s="322">
        <v>5826800</v>
      </c>
      <c r="D16" s="322">
        <v>3676463</v>
      </c>
      <c r="E16" s="322">
        <v>3010000</v>
      </c>
      <c r="F16" s="322">
        <v>4787500</v>
      </c>
      <c r="G16" s="283">
        <f>'Jur-kum'!H55</f>
        <v>6246731</v>
      </c>
      <c r="H16" s="205"/>
    </row>
    <row r="17" spans="1:8">
      <c r="A17" s="342" t="s">
        <v>304</v>
      </c>
      <c r="B17" s="341">
        <f t="shared" si="4"/>
        <v>388556925</v>
      </c>
      <c r="C17" s="322">
        <v>85252900</v>
      </c>
      <c r="D17" s="322">
        <v>68285500</v>
      </c>
      <c r="E17" s="322">
        <v>40399450</v>
      </c>
      <c r="F17" s="322">
        <v>58448375</v>
      </c>
      <c r="G17" s="283">
        <f>'Jur-kum'!H56</f>
        <v>136170700</v>
      </c>
      <c r="H17" s="205"/>
    </row>
    <row r="18" spans="1:8">
      <c r="A18" s="342" t="s">
        <v>305</v>
      </c>
      <c r="B18" s="341">
        <f t="shared" si="4"/>
        <v>32198257</v>
      </c>
      <c r="C18" s="322">
        <v>5390550</v>
      </c>
      <c r="D18" s="322">
        <v>7306000</v>
      </c>
      <c r="E18" s="322">
        <v>5154400</v>
      </c>
      <c r="F18" s="322">
        <v>6609182</v>
      </c>
      <c r="G18" s="283">
        <f>'Jur-kum'!H57</f>
        <v>7738125</v>
      </c>
      <c r="H18" s="205"/>
    </row>
    <row r="19" spans="1:8">
      <c r="A19" s="342" t="s">
        <v>306</v>
      </c>
      <c r="B19" s="341">
        <f t="shared" si="4"/>
        <v>54811800</v>
      </c>
      <c r="C19" s="322">
        <v>13949000</v>
      </c>
      <c r="D19" s="322">
        <v>10146200</v>
      </c>
      <c r="E19" s="322">
        <v>7520300</v>
      </c>
      <c r="F19" s="322">
        <v>6779500</v>
      </c>
      <c r="G19" s="283">
        <f>'Jur-kum'!H58</f>
        <v>16416800</v>
      </c>
      <c r="H19" s="205"/>
    </row>
    <row r="20" spans="1:8">
      <c r="A20" s="342" t="s">
        <v>307</v>
      </c>
      <c r="B20" s="341">
        <f t="shared" si="4"/>
        <v>2038490</v>
      </c>
      <c r="C20" s="322">
        <v>278800</v>
      </c>
      <c r="D20" s="322">
        <v>137500</v>
      </c>
      <c r="E20" s="322">
        <v>1407800</v>
      </c>
      <c r="F20" s="322">
        <v>33250</v>
      </c>
      <c r="G20" s="283">
        <f>'Jur-kum'!H59</f>
        <v>181140</v>
      </c>
      <c r="H20" s="205"/>
    </row>
    <row r="21" spans="1:8">
      <c r="A21" s="342" t="s">
        <v>308</v>
      </c>
      <c r="B21" s="341">
        <f t="shared" si="4"/>
        <v>136393668</v>
      </c>
      <c r="C21" s="322">
        <v>39544610</v>
      </c>
      <c r="D21" s="322">
        <v>29765561</v>
      </c>
      <c r="E21" s="322">
        <v>24025822</v>
      </c>
      <c r="F21" s="322">
        <v>22564236</v>
      </c>
      <c r="G21" s="283">
        <f>'Jur-kum'!H60</f>
        <v>20493439</v>
      </c>
      <c r="H21" s="205"/>
    </row>
    <row r="22" spans="1:8">
      <c r="A22" s="342" t="s">
        <v>309</v>
      </c>
      <c r="B22" s="341">
        <f t="shared" si="4"/>
        <v>333324</v>
      </c>
      <c r="C22" s="322">
        <v>61166</v>
      </c>
      <c r="D22" s="322">
        <v>64773</v>
      </c>
      <c r="E22" s="322">
        <v>63386</v>
      </c>
      <c r="F22" s="322">
        <v>63108</v>
      </c>
      <c r="G22" s="283">
        <f>'Jur-kum'!H61</f>
        <v>80891</v>
      </c>
      <c r="H22" s="205"/>
    </row>
    <row r="23" spans="1:8">
      <c r="A23" s="342" t="s">
        <v>310</v>
      </c>
      <c r="B23" s="341">
        <f t="shared" si="4"/>
        <v>2843000</v>
      </c>
      <c r="C23" s="322">
        <v>568600</v>
      </c>
      <c r="D23" s="322">
        <v>568600</v>
      </c>
      <c r="E23" s="322">
        <v>568600</v>
      </c>
      <c r="F23" s="322">
        <v>568600</v>
      </c>
      <c r="G23" s="283">
        <f>'Jur-kum'!H62</f>
        <v>568600</v>
      </c>
    </row>
    <row r="24" spans="1:8">
      <c r="A24" s="342" t="s">
        <v>311</v>
      </c>
      <c r="B24" s="341">
        <f t="shared" si="4"/>
        <v>5991200</v>
      </c>
      <c r="C24" s="322">
        <v>1497800</v>
      </c>
      <c r="D24" s="322">
        <v>1125850</v>
      </c>
      <c r="E24" s="322">
        <v>1121850</v>
      </c>
      <c r="F24" s="322">
        <v>1121850</v>
      </c>
      <c r="G24" s="283">
        <f>'Jur-kum'!H63</f>
        <v>1123850</v>
      </c>
    </row>
    <row r="25" spans="1:8">
      <c r="A25" s="342" t="s">
        <v>312</v>
      </c>
      <c r="B25" s="341">
        <f t="shared" si="4"/>
        <v>11215855</v>
      </c>
      <c r="C25" s="322">
        <v>2085503</v>
      </c>
      <c r="D25" s="322">
        <v>2282588</v>
      </c>
      <c r="E25" s="322">
        <v>2282588</v>
      </c>
      <c r="F25" s="322">
        <v>2282588</v>
      </c>
      <c r="G25" s="283">
        <f>'Jur-kum'!H64</f>
        <v>2282588</v>
      </c>
    </row>
    <row r="26" spans="1:8">
      <c r="A26" s="342" t="s">
        <v>313</v>
      </c>
      <c r="B26" s="341">
        <f t="shared" si="4"/>
        <v>1450000</v>
      </c>
      <c r="C26" s="322">
        <v>300000</v>
      </c>
      <c r="D26" s="322">
        <v>100000</v>
      </c>
      <c r="E26" s="322">
        <v>300000</v>
      </c>
      <c r="F26" s="322">
        <v>450000</v>
      </c>
      <c r="G26" s="283">
        <f>'Jur-kum'!H65</f>
        <v>300000</v>
      </c>
    </row>
    <row r="27" spans="1:8">
      <c r="A27" s="342" t="s">
        <v>314</v>
      </c>
      <c r="B27" s="341">
        <f t="shared" si="4"/>
        <v>2722650</v>
      </c>
      <c r="C27" s="322">
        <v>383000</v>
      </c>
      <c r="D27" s="322">
        <v>356200</v>
      </c>
      <c r="E27" s="322">
        <v>833150</v>
      </c>
      <c r="F27" s="322">
        <v>474000</v>
      </c>
      <c r="G27" s="283">
        <f>'Jur-kum'!H66</f>
        <v>676300</v>
      </c>
    </row>
    <row r="28" spans="1:8">
      <c r="A28" s="342" t="s">
        <v>315</v>
      </c>
      <c r="B28" s="341">
        <f t="shared" si="4"/>
        <v>8750000</v>
      </c>
      <c r="C28" s="322">
        <v>1750000</v>
      </c>
      <c r="D28" s="322">
        <v>1750000</v>
      </c>
      <c r="E28" s="322">
        <v>1750000</v>
      </c>
      <c r="F28" s="322">
        <v>1750000</v>
      </c>
      <c r="G28" s="283">
        <f>'Jur-kum'!H67</f>
        <v>1750000</v>
      </c>
    </row>
    <row r="29" spans="1:8">
      <c r="A29" s="342" t="s">
        <v>316</v>
      </c>
      <c r="B29" s="341">
        <f t="shared" si="4"/>
        <v>1215478</v>
      </c>
      <c r="C29" s="322">
        <v>290500</v>
      </c>
      <c r="D29" s="322">
        <v>334508</v>
      </c>
      <c r="E29" s="322">
        <v>590470</v>
      </c>
      <c r="F29" s="322">
        <v>0</v>
      </c>
      <c r="G29" s="283">
        <f>'Jur-kum'!H68</f>
        <v>0</v>
      </c>
    </row>
    <row r="30" spans="1:8">
      <c r="A30" s="342" t="s">
        <v>479</v>
      </c>
      <c r="B30" s="341">
        <f t="shared" si="4"/>
        <v>22137450</v>
      </c>
      <c r="C30" s="322">
        <v>0</v>
      </c>
      <c r="D30" s="322">
        <v>22137450</v>
      </c>
      <c r="E30" s="322">
        <v>0</v>
      </c>
      <c r="F30" s="322">
        <v>0</v>
      </c>
      <c r="G30" s="283">
        <f>'Jur-kum'!H76</f>
        <v>0</v>
      </c>
    </row>
    <row r="31" spans="1:8">
      <c r="A31" s="342" t="s">
        <v>347</v>
      </c>
      <c r="B31" s="341">
        <f t="shared" si="4"/>
        <v>4965430</v>
      </c>
      <c r="C31" s="322"/>
      <c r="D31" s="322"/>
      <c r="E31" s="322">
        <v>1214510</v>
      </c>
      <c r="F31" s="322">
        <v>3384776</v>
      </c>
      <c r="G31" s="283">
        <f>'Jur-kum'!H69</f>
        <v>366144</v>
      </c>
    </row>
    <row r="32" spans="1:8" ht="15.75" thickBot="1">
      <c r="A32" s="380" t="s">
        <v>102</v>
      </c>
      <c r="B32" s="381">
        <f>SUM(B15:B31)</f>
        <v>1042724421</v>
      </c>
      <c r="C32" s="382">
        <f>SUM(C15:C31)</f>
        <v>231333401</v>
      </c>
      <c r="D32" s="382">
        <f t="shared" ref="D32:G32" si="5">SUM(D15:D31)</f>
        <v>220190843</v>
      </c>
      <c r="E32" s="382">
        <f t="shared" si="5"/>
        <v>155313263</v>
      </c>
      <c r="F32" s="382">
        <v>168739623</v>
      </c>
      <c r="G32" s="382">
        <f t="shared" si="5"/>
        <v>267147291</v>
      </c>
    </row>
    <row r="33" spans="1:7" ht="15.75" thickTop="1">
      <c r="A33" s="337"/>
      <c r="B33" s="338"/>
      <c r="C33" s="337"/>
      <c r="D33" s="337"/>
      <c r="E33" s="337"/>
      <c r="F33" s="337"/>
    </row>
    <row r="34" spans="1:7">
      <c r="A34" s="343" t="s">
        <v>361</v>
      </c>
      <c r="B34" s="336">
        <f>C34+D34+G34+E34+F34</f>
        <v>929300489</v>
      </c>
      <c r="C34" s="243">
        <f>C13-C32</f>
        <v>204010622</v>
      </c>
      <c r="D34" s="243">
        <f t="shared" ref="D34:G34" si="6">D13-D32</f>
        <v>128227384</v>
      </c>
      <c r="E34" s="243">
        <f t="shared" si="6"/>
        <v>20055778</v>
      </c>
      <c r="F34" s="243">
        <v>126164394</v>
      </c>
      <c r="G34" s="243">
        <f t="shared" si="6"/>
        <v>450842311</v>
      </c>
    </row>
    <row r="35" spans="1:7">
      <c r="B35" s="347"/>
    </row>
    <row r="36" spans="1:7">
      <c r="A36" s="310" t="s">
        <v>371</v>
      </c>
      <c r="B36" s="348">
        <f>SUM(C36:M36)</f>
        <v>35000000</v>
      </c>
      <c r="C36" s="283">
        <v>7000000</v>
      </c>
      <c r="D36" s="283">
        <v>7000000</v>
      </c>
      <c r="E36" s="283">
        <v>7000000</v>
      </c>
      <c r="F36" s="283">
        <v>7000000</v>
      </c>
      <c r="G36" s="283">
        <v>7000000</v>
      </c>
    </row>
    <row r="37" spans="1:7">
      <c r="A37" s="310" t="s">
        <v>488</v>
      </c>
      <c r="B37" s="348">
        <f t="shared" ref="B37:B40" si="7">SUM(C37:M37)</f>
        <v>13500000</v>
      </c>
      <c r="C37" s="283">
        <v>2700000</v>
      </c>
      <c r="D37" s="283">
        <v>2700000</v>
      </c>
      <c r="E37" s="283">
        <v>2700000</v>
      </c>
      <c r="F37" s="283">
        <v>2700000</v>
      </c>
      <c r="G37" s="283">
        <v>2700000</v>
      </c>
    </row>
    <row r="38" spans="1:7">
      <c r="A38" s="310" t="s">
        <v>234</v>
      </c>
      <c r="B38" s="348">
        <f t="shared" si="7"/>
        <v>14516900</v>
      </c>
      <c r="C38" s="283">
        <v>2500000</v>
      </c>
      <c r="D38" s="283">
        <v>2500000</v>
      </c>
      <c r="E38" s="283">
        <v>4140484</v>
      </c>
      <c r="F38" s="283">
        <v>2060528</v>
      </c>
      <c r="G38" s="283">
        <v>3315888</v>
      </c>
    </row>
    <row r="39" spans="1:7">
      <c r="A39" s="310" t="s">
        <v>235</v>
      </c>
      <c r="B39" s="348">
        <f t="shared" si="7"/>
        <v>11500000</v>
      </c>
      <c r="C39" s="283">
        <v>2300000</v>
      </c>
      <c r="D39" s="283">
        <v>2300000</v>
      </c>
      <c r="E39" s="283">
        <v>2300000</v>
      </c>
      <c r="F39" s="283">
        <v>2300000</v>
      </c>
      <c r="G39" s="283">
        <v>2300000</v>
      </c>
    </row>
    <row r="40" spans="1:7">
      <c r="A40" s="344" t="s">
        <v>490</v>
      </c>
      <c r="B40" s="348">
        <f t="shared" si="7"/>
        <v>13600000</v>
      </c>
      <c r="C40" s="349">
        <v>2800000</v>
      </c>
      <c r="D40" s="349">
        <v>2700000</v>
      </c>
      <c r="E40" s="349">
        <v>2700000</v>
      </c>
      <c r="F40" s="349">
        <v>2700000</v>
      </c>
      <c r="G40" s="349">
        <v>2700000</v>
      </c>
    </row>
    <row r="41" spans="1:7">
      <c r="A41" s="345" t="s">
        <v>489</v>
      </c>
      <c r="B41" s="346">
        <f>B34-B36-B37-B38-B39-B40</f>
        <v>841183589</v>
      </c>
      <c r="C41" s="346">
        <f>C34-C36-C37-C38-C39-C40</f>
        <v>186710622</v>
      </c>
      <c r="D41" s="346">
        <f t="shared" ref="D41:G41" si="8">D34-D36-D37-D38-D39-D40</f>
        <v>111027384</v>
      </c>
      <c r="E41" s="346">
        <f t="shared" si="8"/>
        <v>1215294</v>
      </c>
      <c r="F41" s="346">
        <f t="shared" si="8"/>
        <v>109403866</v>
      </c>
      <c r="G41" s="346">
        <f t="shared" si="8"/>
        <v>432826423</v>
      </c>
    </row>
  </sheetData>
  <pageMargins left="0.7" right="0.7" top="0.75" bottom="0.75" header="0.3" footer="0.3"/>
  <pageSetup paperSize="9" scale="73" fitToHeight="0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opLeftCell="A40" workbookViewId="0">
      <selection activeCell="E55" sqref="E55"/>
    </sheetView>
  </sheetViews>
  <sheetFormatPr defaultRowHeight="15"/>
  <cols>
    <col min="1" max="1" width="4.42578125" customWidth="1"/>
    <col min="2" max="2" width="31.140625" customWidth="1"/>
    <col min="3" max="3" width="18" style="205" bestFit="1" customWidth="1"/>
    <col min="4" max="4" width="4" customWidth="1"/>
    <col min="5" max="5" width="29.85546875" customWidth="1"/>
    <col min="6" max="6" width="18" style="205" bestFit="1" customWidth="1"/>
    <col min="7" max="8" width="14.28515625" bestFit="1" customWidth="1"/>
    <col min="9" max="9" width="12.5703125" bestFit="1" customWidth="1"/>
  </cols>
  <sheetData>
    <row r="1" spans="1:8" ht="17.25">
      <c r="A1" s="244" t="s">
        <v>402</v>
      </c>
    </row>
    <row r="2" spans="1:8">
      <c r="A2" s="21"/>
    </row>
    <row r="3" spans="1:8">
      <c r="A3" s="21" t="s">
        <v>362</v>
      </c>
      <c r="E3" s="21" t="s">
        <v>450</v>
      </c>
    </row>
    <row r="4" spans="1:8">
      <c r="A4" t="s">
        <v>363</v>
      </c>
    </row>
    <row r="5" spans="1:8">
      <c r="B5" t="s">
        <v>364</v>
      </c>
      <c r="C5" s="205">
        <v>28767081</v>
      </c>
      <c r="E5" t="s">
        <v>365</v>
      </c>
      <c r="F5" s="205">
        <v>125015000</v>
      </c>
    </row>
    <row r="6" spans="1:8">
      <c r="B6" t="s">
        <v>11</v>
      </c>
      <c r="C6" s="205">
        <v>138630446</v>
      </c>
      <c r="E6" t="s">
        <v>366</v>
      </c>
      <c r="F6" s="205">
        <v>80901262</v>
      </c>
    </row>
    <row r="7" spans="1:8">
      <c r="B7" t="s">
        <v>367</v>
      </c>
      <c r="C7" s="205">
        <v>145227684</v>
      </c>
      <c r="E7" t="s">
        <v>368</v>
      </c>
      <c r="F7" s="205">
        <v>90000000</v>
      </c>
    </row>
    <row r="8" spans="1:8">
      <c r="B8" t="s">
        <v>369</v>
      </c>
      <c r="C8" s="205">
        <v>767560</v>
      </c>
      <c r="E8" t="s">
        <v>370</v>
      </c>
      <c r="F8" s="205">
        <v>526992057</v>
      </c>
    </row>
    <row r="9" spans="1:8">
      <c r="B9" t="s">
        <v>281</v>
      </c>
      <c r="C9" s="205">
        <v>10138756</v>
      </c>
      <c r="E9" t="s">
        <v>371</v>
      </c>
      <c r="F9" s="205">
        <v>100000000</v>
      </c>
    </row>
    <row r="10" spans="1:8">
      <c r="B10" t="s">
        <v>372</v>
      </c>
      <c r="C10" s="205">
        <v>395892</v>
      </c>
      <c r="E10" t="s">
        <v>373</v>
      </c>
      <c r="F10" s="205">
        <v>30000000</v>
      </c>
    </row>
    <row r="11" spans="1:8">
      <c r="B11" t="s">
        <v>374</v>
      </c>
      <c r="C11" s="205">
        <v>5500000</v>
      </c>
      <c r="E11" t="s">
        <v>375</v>
      </c>
      <c r="F11" s="205">
        <v>43285000</v>
      </c>
    </row>
    <row r="12" spans="1:8">
      <c r="B12" t="s">
        <v>376</v>
      </c>
      <c r="C12" s="205">
        <v>3533067</v>
      </c>
      <c r="E12" t="s">
        <v>377</v>
      </c>
      <c r="F12" s="205">
        <v>30000000</v>
      </c>
    </row>
    <row r="13" spans="1:8">
      <c r="B13" t="s">
        <v>378</v>
      </c>
      <c r="C13" s="205">
        <v>2000000</v>
      </c>
      <c r="E13" t="s">
        <v>379</v>
      </c>
      <c r="F13" s="205">
        <v>106900</v>
      </c>
    </row>
    <row r="14" spans="1:8">
      <c r="B14" t="s">
        <v>380</v>
      </c>
      <c r="C14" s="205">
        <v>1000000</v>
      </c>
      <c r="E14" t="s">
        <v>381</v>
      </c>
      <c r="F14" s="205">
        <v>10404743</v>
      </c>
    </row>
    <row r="15" spans="1:8">
      <c r="B15" t="s">
        <v>382</v>
      </c>
      <c r="C15" s="205">
        <v>1000000</v>
      </c>
      <c r="E15" t="s">
        <v>383</v>
      </c>
      <c r="F15" s="205">
        <v>-3621941</v>
      </c>
      <c r="H15" s="255"/>
    </row>
    <row r="16" spans="1:8">
      <c r="B16" t="s">
        <v>324</v>
      </c>
      <c r="C16" s="205">
        <v>10000000</v>
      </c>
      <c r="E16" t="s">
        <v>447</v>
      </c>
      <c r="F16" s="205">
        <v>70460500</v>
      </c>
    </row>
    <row r="17" spans="1:8">
      <c r="B17" t="s">
        <v>384</v>
      </c>
      <c r="C17" s="205">
        <v>5339855</v>
      </c>
      <c r="E17" t="s">
        <v>385</v>
      </c>
      <c r="F17" s="205">
        <v>30000000</v>
      </c>
    </row>
    <row r="18" spans="1:8">
      <c r="B18" t="s">
        <v>386</v>
      </c>
      <c r="C18" s="205">
        <v>114077000</v>
      </c>
      <c r="E18" t="s">
        <v>387</v>
      </c>
      <c r="F18" s="205">
        <v>7646648000</v>
      </c>
    </row>
    <row r="19" spans="1:8">
      <c r="B19" t="s">
        <v>388</v>
      </c>
      <c r="C19" s="205">
        <v>1350000000</v>
      </c>
      <c r="E19" t="s">
        <v>389</v>
      </c>
      <c r="F19" s="205">
        <v>1045300000</v>
      </c>
    </row>
    <row r="20" spans="1:8">
      <c r="A20" t="s">
        <v>390</v>
      </c>
      <c r="C20" s="205">
        <v>237114334</v>
      </c>
      <c r="E20" t="s">
        <v>445</v>
      </c>
      <c r="F20" s="205">
        <v>2978321373</v>
      </c>
      <c r="H20" s="255"/>
    </row>
    <row r="21" spans="1:8">
      <c r="A21" t="s">
        <v>392</v>
      </c>
      <c r="C21" s="205">
        <v>388590999</v>
      </c>
      <c r="E21" t="s">
        <v>397</v>
      </c>
      <c r="F21" s="205">
        <v>412328306</v>
      </c>
    </row>
    <row r="22" spans="1:8">
      <c r="A22" t="s">
        <v>318</v>
      </c>
      <c r="C22" s="205">
        <v>157807000</v>
      </c>
      <c r="E22" t="s">
        <v>398</v>
      </c>
      <c r="F22" s="205">
        <v>1710987722</v>
      </c>
    </row>
    <row r="23" spans="1:8">
      <c r="A23" t="s">
        <v>393</v>
      </c>
      <c r="C23" s="205">
        <v>20219215</v>
      </c>
    </row>
    <row r="24" spans="1:8">
      <c r="A24" t="s">
        <v>394</v>
      </c>
      <c r="C24" s="205">
        <v>81913163</v>
      </c>
    </row>
    <row r="25" spans="1:8">
      <c r="A25" t="s">
        <v>395</v>
      </c>
      <c r="C25" s="205">
        <v>3943998</v>
      </c>
    </row>
    <row r="26" spans="1:8">
      <c r="A26" t="s">
        <v>396</v>
      </c>
      <c r="C26" s="205">
        <v>7842795074</v>
      </c>
      <c r="H26" s="255"/>
    </row>
    <row r="27" spans="1:8">
      <c r="A27" t="s">
        <v>446</v>
      </c>
      <c r="C27" s="205">
        <v>4023621373</v>
      </c>
    </row>
    <row r="28" spans="1:8">
      <c r="A28" t="s">
        <v>399</v>
      </c>
      <c r="C28" s="205">
        <v>354746425</v>
      </c>
    </row>
    <row r="29" spans="1:8" ht="15.75" thickBot="1">
      <c r="A29" s="241" t="s">
        <v>400</v>
      </c>
      <c r="B29" s="241"/>
      <c r="C29" s="242">
        <f>SUM(C5:C28)</f>
        <v>14927128922</v>
      </c>
      <c r="D29" s="241"/>
      <c r="E29" s="241" t="s">
        <v>401</v>
      </c>
      <c r="F29" s="242">
        <f>SUM(F5:F28)</f>
        <v>14927128922</v>
      </c>
    </row>
    <row r="30" spans="1:8" ht="15.75" thickTop="1">
      <c r="F30" s="205">
        <f>F29-C29</f>
        <v>0</v>
      </c>
    </row>
    <row r="31" spans="1:8" ht="17.25">
      <c r="A31" s="244" t="s">
        <v>1490</v>
      </c>
    </row>
    <row r="33" spans="1:9">
      <c r="A33" s="21" t="s">
        <v>362</v>
      </c>
      <c r="E33" s="21" t="s">
        <v>450</v>
      </c>
    </row>
    <row r="34" spans="1:9">
      <c r="A34" t="s">
        <v>363</v>
      </c>
      <c r="C34" s="256"/>
      <c r="F34" s="256"/>
    </row>
    <row r="35" spans="1:9">
      <c r="B35" t="s">
        <v>364</v>
      </c>
      <c r="C35" s="260">
        <f>C5+'Jur total'!B107-'Jur total'!D107</f>
        <v>37127619</v>
      </c>
      <c r="E35" t="s">
        <v>365</v>
      </c>
      <c r="F35" s="256">
        <f>F5+'Jur total'!D24-'Jur total'!B6</f>
        <v>109705000</v>
      </c>
      <c r="G35" s="19"/>
    </row>
    <row r="36" spans="1:9">
      <c r="B36" t="s">
        <v>11</v>
      </c>
      <c r="C36" s="260">
        <f>C6+'Jur total'!B106-'Jur total'!D106</f>
        <v>613962431</v>
      </c>
      <c r="E36" t="s">
        <v>366</v>
      </c>
      <c r="F36" s="256">
        <f>F6+'Jur total'!D26-'Jur total'!B27-'Jur total'!B28-'Jur total'!B29</f>
        <v>191384749</v>
      </c>
      <c r="G36" s="22"/>
      <c r="H36" s="255"/>
    </row>
    <row r="37" spans="1:9">
      <c r="B37" t="s">
        <v>367</v>
      </c>
      <c r="C37" s="260">
        <f>C7+'Jur total'!B108-'Jur total'!D108</f>
        <v>85854782</v>
      </c>
      <c r="E37" t="s">
        <v>368</v>
      </c>
      <c r="F37" s="256">
        <v>90000000</v>
      </c>
      <c r="H37" s="255"/>
      <c r="I37" s="22"/>
    </row>
    <row r="38" spans="1:9">
      <c r="B38" t="s">
        <v>405</v>
      </c>
      <c r="C38" s="260">
        <f>'Jur total'!B20+'Jur total'!B76</f>
        <v>1825000</v>
      </c>
      <c r="E38" t="s">
        <v>370</v>
      </c>
      <c r="F38" s="256">
        <f>526992057+'Jur total'!D90</f>
        <v>676992057</v>
      </c>
      <c r="H38" s="255"/>
      <c r="I38" s="22"/>
    </row>
    <row r="39" spans="1:9">
      <c r="B39" t="s">
        <v>369</v>
      </c>
      <c r="C39" s="260">
        <v>767560</v>
      </c>
      <c r="E39" t="s">
        <v>371</v>
      </c>
      <c r="F39" s="256">
        <f>F9-'Jur total'!B96+LR!B36</f>
        <v>48992638</v>
      </c>
    </row>
    <row r="40" spans="1:9">
      <c r="B40" t="s">
        <v>281</v>
      </c>
      <c r="C40" s="260">
        <f>C9+'Jur total'!B18+'Jur total'!B82+'Jur total'!B95-'Jur total'!D74-'Jur total'!D85-'Jur total'!D86</f>
        <v>98975384</v>
      </c>
      <c r="E40" t="s">
        <v>373</v>
      </c>
      <c r="F40" s="256">
        <f>F10+LR!B38-'Jur total'!B94</f>
        <v>14516900</v>
      </c>
      <c r="H40" s="255"/>
    </row>
    <row r="41" spans="1:9">
      <c r="B41" t="s">
        <v>372</v>
      </c>
      <c r="C41" s="260">
        <v>395892</v>
      </c>
      <c r="E41" t="s">
        <v>375</v>
      </c>
      <c r="F41" s="256">
        <f>F11-'Jur total'!B57+LR!B40</f>
        <v>54835000</v>
      </c>
    </row>
    <row r="42" spans="1:9">
      <c r="B42" t="s">
        <v>374</v>
      </c>
      <c r="C42" s="260">
        <v>5500000</v>
      </c>
      <c r="E42" t="s">
        <v>377</v>
      </c>
      <c r="F42" s="256">
        <f>F12-'Jur total'!B79+LR!B39</f>
        <v>11500000</v>
      </c>
    </row>
    <row r="43" spans="1:9">
      <c r="B43" t="s">
        <v>376</v>
      </c>
      <c r="C43" s="278">
        <v>3533067</v>
      </c>
      <c r="E43" t="s">
        <v>379</v>
      </c>
      <c r="F43" s="256">
        <v>106900</v>
      </c>
    </row>
    <row r="44" spans="1:9">
      <c r="B44" t="s">
        <v>378</v>
      </c>
      <c r="C44" s="278">
        <v>2000000</v>
      </c>
      <c r="E44" t="s">
        <v>381</v>
      </c>
      <c r="F44" s="205">
        <v>10404743</v>
      </c>
    </row>
    <row r="45" spans="1:9">
      <c r="B45" t="s">
        <v>380</v>
      </c>
      <c r="C45" s="278">
        <v>1000000</v>
      </c>
      <c r="E45" t="s">
        <v>383</v>
      </c>
      <c r="F45" s="205">
        <v>-3621941</v>
      </c>
    </row>
    <row r="46" spans="1:9">
      <c r="B46" t="s">
        <v>382</v>
      </c>
      <c r="C46" s="278">
        <f>C15</f>
        <v>1000000</v>
      </c>
      <c r="E46" t="s">
        <v>447</v>
      </c>
      <c r="F46" s="205">
        <f>F16-'Jur total'!B59-'Jur total'!B60+'Jur total'!D91</f>
        <v>103703575</v>
      </c>
    </row>
    <row r="47" spans="1:9">
      <c r="B47" t="s">
        <v>324</v>
      </c>
      <c r="C47" s="278">
        <f>C16+'Jur total'!B78+'Jur total'!B97</f>
        <v>38185510</v>
      </c>
      <c r="E47" t="s">
        <v>385</v>
      </c>
      <c r="F47" s="205">
        <f>F17-'Jur total'!B51+LR!B37</f>
        <v>9030000</v>
      </c>
    </row>
    <row r="48" spans="1:9">
      <c r="B48" t="s">
        <v>384</v>
      </c>
      <c r="C48" s="278">
        <v>5339855</v>
      </c>
      <c r="E48" t="s">
        <v>387</v>
      </c>
      <c r="F48" s="205">
        <v>7646648000</v>
      </c>
    </row>
    <row r="49" spans="1:8">
      <c r="B49" t="s">
        <v>386</v>
      </c>
      <c r="C49" s="278">
        <f>C18+'Jur total'!B72-'Jur total'!D37</f>
        <v>112037000</v>
      </c>
      <c r="E49" t="s">
        <v>389</v>
      </c>
      <c r="F49" s="205">
        <v>1045300000</v>
      </c>
    </row>
    <row r="50" spans="1:8">
      <c r="B50" t="s">
        <v>688</v>
      </c>
      <c r="C50" s="278">
        <v>10000000</v>
      </c>
      <c r="E50" t="s">
        <v>391</v>
      </c>
      <c r="F50" s="205">
        <v>2978321373</v>
      </c>
      <c r="G50" s="255"/>
    </row>
    <row r="51" spans="1:8">
      <c r="B51" t="s">
        <v>689</v>
      </c>
      <c r="C51" s="278">
        <v>250000000</v>
      </c>
      <c r="G51" s="255"/>
    </row>
    <row r="52" spans="1:8">
      <c r="A52" t="s">
        <v>390</v>
      </c>
      <c r="C52" s="278">
        <f>C20+'Jur total'!B64</f>
        <v>353603961</v>
      </c>
      <c r="E52" t="s">
        <v>397</v>
      </c>
      <c r="F52" s="205">
        <f>F21+F22-'Jur total'!B85-'Jur total'!B86-'Jur total'!B87-'Jur total'!B88-'Jur total'!B89-'Jur total'!B90-'Jur total'!B91</f>
        <v>1073316028</v>
      </c>
      <c r="H52" s="255"/>
    </row>
    <row r="53" spans="1:8">
      <c r="A53" t="s">
        <v>392</v>
      </c>
      <c r="C53" s="278">
        <f>C21+'Jur total'!B30+'Jur total'!B31</f>
        <v>436252379</v>
      </c>
      <c r="E53" t="s">
        <v>403</v>
      </c>
      <c r="F53" s="205">
        <f>LR!B41</f>
        <v>841183589</v>
      </c>
    </row>
    <row r="54" spans="1:8">
      <c r="A54" t="s">
        <v>318</v>
      </c>
      <c r="C54" s="278">
        <f>C22+'Jur total'!B69</f>
        <v>531964433</v>
      </c>
    </row>
    <row r="55" spans="1:8">
      <c r="A55" t="s">
        <v>393</v>
      </c>
      <c r="C55" s="278">
        <v>20219215</v>
      </c>
    </row>
    <row r="56" spans="1:8" hidden="1">
      <c r="A56" t="s">
        <v>668</v>
      </c>
      <c r="C56" s="278">
        <f>'Jur total'!B92+'Jur total'!B56-'Jur total'!B95</f>
        <v>0</v>
      </c>
    </row>
    <row r="57" spans="1:8">
      <c r="A57" t="s">
        <v>394</v>
      </c>
      <c r="C57" s="278">
        <v>81913163</v>
      </c>
    </row>
    <row r="58" spans="1:8">
      <c r="A58" t="s">
        <v>395</v>
      </c>
      <c r="C58" s="278">
        <v>3943998</v>
      </c>
    </row>
    <row r="59" spans="1:8">
      <c r="A59" t="s">
        <v>396</v>
      </c>
      <c r="C59" s="278">
        <v>7842795074</v>
      </c>
    </row>
    <row r="60" spans="1:8">
      <c r="A60" t="s">
        <v>446</v>
      </c>
      <c r="C60" s="278">
        <v>4023621373</v>
      </c>
    </row>
    <row r="61" spans="1:8">
      <c r="A61" t="s">
        <v>399</v>
      </c>
      <c r="C61" s="278">
        <f>C28+'Jur total'!B83-'Jur total'!D22-'Jur total'!D97</f>
        <v>340500915</v>
      </c>
    </row>
    <row r="62" spans="1:8" ht="15.75" thickBot="1">
      <c r="A62" s="241" t="s">
        <v>400</v>
      </c>
      <c r="B62" s="241"/>
      <c r="C62" s="242">
        <f>SUM(C34:C61)</f>
        <v>14902318611</v>
      </c>
      <c r="D62" s="241"/>
      <c r="E62" s="241" t="s">
        <v>401</v>
      </c>
      <c r="F62" s="242">
        <f>SUM(F35:F61)</f>
        <v>14902318611</v>
      </c>
    </row>
    <row r="63" spans="1:8" ht="15.75" thickTop="1">
      <c r="F63" s="205">
        <f>C62-F62</f>
        <v>0</v>
      </c>
    </row>
    <row r="66" spans="5:5">
      <c r="E66" s="255"/>
    </row>
  </sheetData>
  <pageMargins left="0.7" right="0.7" top="0.75" bottom="0.75" header="0.3" footer="0.3"/>
  <pageSetup paperSize="9" scale="8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476"/>
  <sheetViews>
    <sheetView zoomScale="93" zoomScaleNormal="93" workbookViewId="0">
      <pane ySplit="1" topLeftCell="A62" activePane="bottomLeft" state="frozen"/>
      <selection pane="bottomLeft" activeCell="E446" sqref="E446"/>
    </sheetView>
  </sheetViews>
  <sheetFormatPr defaultRowHeight="15"/>
  <cols>
    <col min="1" max="1" width="12.85546875" customWidth="1"/>
    <col min="2" max="2" width="59.5703125" customWidth="1"/>
    <col min="3" max="3" width="18.7109375" style="31" bestFit="1" customWidth="1"/>
    <col min="4" max="4" width="27.42578125" customWidth="1"/>
    <col min="5" max="5" width="18" customWidth="1"/>
    <col min="6" max="6" width="23.85546875" customWidth="1"/>
    <col min="7" max="7" width="14.42578125" customWidth="1"/>
    <col min="8" max="8" width="15" bestFit="1" customWidth="1"/>
    <col min="9" max="9" width="12.28515625" customWidth="1"/>
    <col min="10" max="10" width="13.140625" bestFit="1" customWidth="1"/>
    <col min="11" max="11" width="13.28515625" bestFit="1" customWidth="1"/>
    <col min="12" max="12" width="13.140625" bestFit="1" customWidth="1"/>
    <col min="13" max="13" width="13.140625" customWidth="1"/>
    <col min="14" max="14" width="11.5703125" bestFit="1" customWidth="1"/>
    <col min="15" max="16" width="11.5703125" customWidth="1"/>
    <col min="17" max="17" width="15.7109375" customWidth="1"/>
    <col min="18" max="19" width="14" bestFit="1" customWidth="1"/>
    <col min="20" max="20" width="11.5703125" bestFit="1" customWidth="1"/>
    <col min="21" max="21" width="11.140625" bestFit="1" customWidth="1"/>
    <col min="22" max="22" width="10.5703125" bestFit="1" customWidth="1"/>
    <col min="23" max="23" width="13.140625" customWidth="1"/>
    <col min="24" max="24" width="12.28515625" customWidth="1"/>
    <col min="25" max="25" width="11.5703125" bestFit="1" customWidth="1"/>
    <col min="26" max="26" width="11.5703125" customWidth="1"/>
    <col min="27" max="27" width="16.7109375" customWidth="1"/>
    <col min="28" max="28" width="11.140625" bestFit="1" customWidth="1"/>
    <col min="29" max="29" width="14.5703125" bestFit="1" customWidth="1"/>
    <col min="30" max="30" width="14.85546875" customWidth="1"/>
    <col min="31" max="31" width="12.140625" bestFit="1" customWidth="1"/>
    <col min="32" max="32" width="13.7109375" customWidth="1"/>
    <col min="33" max="33" width="14.85546875" customWidth="1"/>
    <col min="34" max="34" width="11.5703125" customWidth="1"/>
    <col min="35" max="35" width="10.5703125" bestFit="1" customWidth="1"/>
    <col min="36" max="36" width="10.85546875" customWidth="1"/>
    <col min="38" max="38" width="10.42578125" bestFit="1" customWidth="1"/>
  </cols>
  <sheetData>
    <row r="1" spans="1:38" s="25" customFormat="1" ht="45">
      <c r="A1" s="23" t="s">
        <v>38</v>
      </c>
      <c r="B1" s="43" t="s">
        <v>5</v>
      </c>
      <c r="C1" s="1" t="s">
        <v>6</v>
      </c>
      <c r="D1" s="44" t="s">
        <v>39</v>
      </c>
      <c r="E1" s="44" t="s">
        <v>1426</v>
      </c>
      <c r="F1" s="44" t="s">
        <v>452</v>
      </c>
      <c r="G1" s="4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34</v>
      </c>
      <c r="M1" s="24" t="s">
        <v>223</v>
      </c>
      <c r="N1" s="24" t="s">
        <v>224</v>
      </c>
      <c r="O1" s="24" t="s">
        <v>225</v>
      </c>
      <c r="P1" s="24" t="s">
        <v>226</v>
      </c>
      <c r="Q1" s="24" t="s">
        <v>227</v>
      </c>
      <c r="R1" s="24" t="s">
        <v>228</v>
      </c>
      <c r="S1" s="24" t="s">
        <v>122</v>
      </c>
      <c r="T1" s="24" t="s">
        <v>123</v>
      </c>
      <c r="U1" s="24" t="s">
        <v>118</v>
      </c>
      <c r="V1" s="24" t="s">
        <v>124</v>
      </c>
      <c r="W1" s="24" t="s">
        <v>188</v>
      </c>
      <c r="X1" s="24" t="s">
        <v>141</v>
      </c>
      <c r="Y1" s="24" t="s">
        <v>125</v>
      </c>
      <c r="Z1" s="24" t="s">
        <v>221</v>
      </c>
      <c r="AA1" s="24" t="s">
        <v>222</v>
      </c>
      <c r="AB1" s="41" t="s">
        <v>32</v>
      </c>
      <c r="AC1" s="41" t="s">
        <v>30</v>
      </c>
      <c r="AD1" s="24" t="s">
        <v>144</v>
      </c>
      <c r="AE1" s="41" t="s">
        <v>143</v>
      </c>
      <c r="AF1" s="24" t="s">
        <v>142</v>
      </c>
      <c r="AG1" s="24" t="s">
        <v>204</v>
      </c>
      <c r="AH1" s="24" t="s">
        <v>202</v>
      </c>
      <c r="AI1" s="41" t="s">
        <v>126</v>
      </c>
      <c r="AJ1" s="41" t="s">
        <v>35</v>
      </c>
      <c r="AK1" s="41" t="s">
        <v>36</v>
      </c>
      <c r="AL1" s="41" t="s">
        <v>40</v>
      </c>
    </row>
    <row r="2" spans="1:38" s="90" customFormat="1" hidden="1">
      <c r="A2" s="354">
        <v>45413</v>
      </c>
      <c r="B2" s="72" t="s">
        <v>577</v>
      </c>
      <c r="C2" s="59">
        <v>-11000</v>
      </c>
      <c r="D2" s="142" t="s">
        <v>453</v>
      </c>
      <c r="E2" s="142"/>
      <c r="F2" s="142"/>
      <c r="G2" s="86"/>
      <c r="H2" s="86"/>
      <c r="I2" s="86"/>
      <c r="J2" s="86"/>
      <c r="K2" s="86">
        <f>C2</f>
        <v>-11000</v>
      </c>
      <c r="L2" s="86"/>
      <c r="M2" s="86"/>
      <c r="N2" s="86"/>
      <c r="O2" s="86"/>
      <c r="P2" s="86"/>
      <c r="Q2" s="86"/>
      <c r="R2" s="89"/>
      <c r="S2" s="89"/>
      <c r="T2" s="89"/>
      <c r="U2" s="89"/>
      <c r="V2" s="89"/>
      <c r="W2" s="89"/>
      <c r="X2" s="89"/>
      <c r="Y2" s="89"/>
      <c r="Z2" s="89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</row>
    <row r="3" spans="1:38" s="90" customFormat="1" hidden="1">
      <c r="A3" s="354">
        <v>45413</v>
      </c>
      <c r="B3" s="72" t="s">
        <v>590</v>
      </c>
      <c r="C3" s="59">
        <v>-83100</v>
      </c>
      <c r="D3" s="142" t="s">
        <v>27</v>
      </c>
      <c r="E3" s="142"/>
      <c r="F3" s="142"/>
      <c r="G3" s="86"/>
      <c r="H3" s="86"/>
      <c r="I3" s="86">
        <f>C3</f>
        <v>-83100</v>
      </c>
      <c r="J3" s="86"/>
      <c r="K3" s="86"/>
      <c r="L3" s="86"/>
      <c r="M3" s="86"/>
      <c r="N3" s="86"/>
      <c r="O3" s="86"/>
      <c r="P3" s="86"/>
      <c r="Q3" s="86"/>
      <c r="R3" s="89"/>
      <c r="S3" s="89"/>
      <c r="T3" s="89"/>
      <c r="U3" s="89"/>
      <c r="V3" s="89"/>
      <c r="W3" s="89"/>
      <c r="X3" s="89"/>
      <c r="Y3" s="89"/>
      <c r="Z3" s="89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1:38" s="90" customFormat="1" hidden="1">
      <c r="A4" s="354">
        <v>45413</v>
      </c>
      <c r="B4" s="72" t="s">
        <v>868</v>
      </c>
      <c r="C4" s="59">
        <v>-3300000</v>
      </c>
      <c r="D4" s="142" t="s">
        <v>233</v>
      </c>
      <c r="E4" s="142"/>
      <c r="F4" s="142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9"/>
      <c r="S4" s="89"/>
      <c r="T4" s="89"/>
      <c r="U4" s="89"/>
      <c r="V4" s="89"/>
      <c r="W4" s="89"/>
      <c r="X4" s="89"/>
      <c r="Y4" s="89"/>
      <c r="Z4" s="89"/>
      <c r="AA4" s="86"/>
      <c r="AB4" s="86"/>
      <c r="AC4" s="86"/>
      <c r="AD4" s="86"/>
      <c r="AE4" s="86"/>
      <c r="AF4" s="86">
        <f>C4</f>
        <v>-3300000</v>
      </c>
      <c r="AG4" s="86"/>
      <c r="AH4" s="86"/>
      <c r="AI4" s="86"/>
      <c r="AJ4" s="86"/>
      <c r="AK4" s="86"/>
      <c r="AL4" s="86"/>
    </row>
    <row r="5" spans="1:38" s="90" customFormat="1" hidden="1">
      <c r="A5" s="354">
        <v>45413</v>
      </c>
      <c r="B5" s="72" t="s">
        <v>591</v>
      </c>
      <c r="C5" s="59">
        <v>-2434000</v>
      </c>
      <c r="D5" s="142" t="s">
        <v>454</v>
      </c>
      <c r="E5" s="142"/>
      <c r="F5" s="142"/>
      <c r="G5" s="86"/>
      <c r="H5" s="86">
        <f>C5</f>
        <v>-2434000</v>
      </c>
      <c r="I5" s="86"/>
      <c r="J5" s="86"/>
      <c r="K5" s="86"/>
      <c r="L5" s="86"/>
      <c r="M5" s="86"/>
      <c r="N5" s="86"/>
      <c r="O5" s="86"/>
      <c r="P5" s="86"/>
      <c r="Q5" s="86"/>
      <c r="R5" s="89"/>
      <c r="S5" s="89"/>
      <c r="T5" s="89"/>
      <c r="U5" s="89"/>
      <c r="V5" s="89"/>
      <c r="W5" s="89"/>
      <c r="X5" s="89"/>
      <c r="Y5" s="89"/>
      <c r="Z5" s="89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</row>
    <row r="6" spans="1:38" s="90" customFormat="1" hidden="1">
      <c r="A6" s="354">
        <v>45413</v>
      </c>
      <c r="B6" s="72" t="s">
        <v>869</v>
      </c>
      <c r="C6" s="59">
        <v>-1112500</v>
      </c>
      <c r="D6" s="142" t="s">
        <v>607</v>
      </c>
      <c r="E6" s="142"/>
      <c r="F6" s="142"/>
      <c r="G6" s="86"/>
      <c r="H6" s="86"/>
      <c r="I6" s="86"/>
      <c r="J6" s="86">
        <f>C6</f>
        <v>-1112500</v>
      </c>
      <c r="K6" s="86"/>
      <c r="L6" s="86"/>
      <c r="M6" s="86"/>
      <c r="N6" s="86"/>
      <c r="O6" s="86"/>
      <c r="P6" s="86"/>
      <c r="Q6" s="86"/>
      <c r="R6" s="89"/>
      <c r="S6" s="89"/>
      <c r="T6" s="89"/>
      <c r="U6" s="89"/>
      <c r="V6" s="89"/>
      <c r="W6" s="89"/>
      <c r="X6" s="89"/>
      <c r="Y6" s="89"/>
      <c r="Z6" s="89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</row>
    <row r="7" spans="1:38" s="90" customFormat="1" hidden="1">
      <c r="A7" s="354">
        <v>45413</v>
      </c>
      <c r="B7" s="72" t="s">
        <v>871</v>
      </c>
      <c r="C7" s="59">
        <v>-65000</v>
      </c>
      <c r="D7" s="142" t="s">
        <v>25</v>
      </c>
      <c r="E7" s="142"/>
      <c r="F7" s="142"/>
      <c r="G7" s="86">
        <f>C7</f>
        <v>-65000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9"/>
      <c r="S7" s="89"/>
      <c r="T7" s="89"/>
      <c r="U7" s="89"/>
      <c r="V7" s="89"/>
      <c r="W7" s="89"/>
      <c r="X7" s="89"/>
      <c r="Y7" s="89"/>
      <c r="Z7" s="89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</row>
    <row r="8" spans="1:38" s="90" customFormat="1" hidden="1">
      <c r="A8" s="354">
        <v>45414</v>
      </c>
      <c r="B8" s="72" t="s">
        <v>577</v>
      </c>
      <c r="C8" s="59">
        <v>-11000</v>
      </c>
      <c r="D8" s="142" t="s">
        <v>453</v>
      </c>
      <c r="E8" s="142"/>
      <c r="F8" s="142"/>
      <c r="G8" s="86"/>
      <c r="H8" s="86"/>
      <c r="I8" s="86"/>
      <c r="J8" s="86"/>
      <c r="K8" s="86">
        <f>C8</f>
        <v>-11000</v>
      </c>
      <c r="L8" s="86"/>
      <c r="M8" s="86"/>
      <c r="N8" s="86"/>
      <c r="O8" s="86"/>
      <c r="P8" s="86"/>
      <c r="Q8" s="86"/>
      <c r="R8" s="89"/>
      <c r="S8" s="89"/>
      <c r="T8" s="89"/>
      <c r="U8" s="89"/>
      <c r="V8" s="89"/>
      <c r="W8" s="89"/>
      <c r="X8" s="89"/>
      <c r="Y8" s="89"/>
      <c r="Z8" s="89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</row>
    <row r="9" spans="1:38" s="90" customFormat="1" hidden="1">
      <c r="A9" s="354">
        <v>45414</v>
      </c>
      <c r="B9" s="72" t="s">
        <v>591</v>
      </c>
      <c r="C9" s="398">
        <v>-3719500</v>
      </c>
      <c r="D9" s="142" t="s">
        <v>454</v>
      </c>
      <c r="E9" s="142"/>
      <c r="F9" s="142"/>
      <c r="G9" s="86"/>
      <c r="H9" s="86">
        <f>C9</f>
        <v>-3719500</v>
      </c>
      <c r="I9" s="86"/>
      <c r="J9" s="86"/>
      <c r="K9" s="86"/>
      <c r="L9" s="86"/>
      <c r="M9" s="86"/>
      <c r="N9" s="86"/>
      <c r="O9" s="86"/>
      <c r="P9" s="86"/>
      <c r="Q9" s="86"/>
      <c r="R9" s="89"/>
      <c r="S9" s="89"/>
      <c r="T9" s="89"/>
      <c r="U9" s="89"/>
      <c r="V9" s="89"/>
      <c r="W9" s="89"/>
      <c r="X9" s="89"/>
      <c r="Y9" s="89"/>
      <c r="Z9" s="89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</row>
    <row r="10" spans="1:38" s="90" customFormat="1" hidden="1">
      <c r="A10" s="354">
        <v>45414</v>
      </c>
      <c r="B10" s="72" t="s">
        <v>876</v>
      </c>
      <c r="C10" s="59">
        <v>-65000</v>
      </c>
      <c r="D10" s="142" t="s">
        <v>25</v>
      </c>
      <c r="E10" s="142"/>
      <c r="F10" s="142"/>
      <c r="G10" s="86">
        <f>C10</f>
        <v>-65000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9"/>
      <c r="S10" s="89"/>
      <c r="T10" s="89"/>
      <c r="U10" s="89"/>
      <c r="V10" s="89"/>
      <c r="W10" s="89"/>
      <c r="X10" s="89"/>
      <c r="Y10" s="89"/>
      <c r="Z10" s="89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</row>
    <row r="11" spans="1:38" s="90" customFormat="1" hidden="1">
      <c r="A11" s="354">
        <v>45414</v>
      </c>
      <c r="B11" s="72" t="s">
        <v>579</v>
      </c>
      <c r="C11" s="59">
        <v>-180000</v>
      </c>
      <c r="D11" s="142" t="s">
        <v>454</v>
      </c>
      <c r="E11" s="142"/>
      <c r="F11" s="142"/>
      <c r="G11" s="86"/>
      <c r="H11" s="86">
        <f>C11</f>
        <v>-180000</v>
      </c>
      <c r="I11" s="86"/>
      <c r="J11" s="86"/>
      <c r="K11" s="86"/>
      <c r="L11" s="86"/>
      <c r="M11" s="86"/>
      <c r="N11" s="86"/>
      <c r="O11" s="86"/>
      <c r="P11" s="86"/>
      <c r="Q11" s="86"/>
      <c r="R11" s="89"/>
      <c r="S11" s="89"/>
      <c r="T11" s="89"/>
      <c r="U11" s="89"/>
      <c r="V11" s="89"/>
      <c r="W11" s="89"/>
      <c r="X11" s="89"/>
      <c r="Y11" s="89"/>
      <c r="Z11" s="89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</row>
    <row r="12" spans="1:38" s="90" customFormat="1" hidden="1">
      <c r="A12" s="354">
        <v>45414</v>
      </c>
      <c r="B12" s="72" t="s">
        <v>877</v>
      </c>
      <c r="C12" s="59">
        <v>-100000</v>
      </c>
      <c r="D12" s="142" t="s">
        <v>453</v>
      </c>
      <c r="E12" s="142"/>
      <c r="F12" s="142"/>
      <c r="G12" s="86"/>
      <c r="H12" s="86"/>
      <c r="I12" s="86"/>
      <c r="J12" s="86"/>
      <c r="K12" s="86">
        <f>C12</f>
        <v>-100000</v>
      </c>
      <c r="L12" s="86"/>
      <c r="M12" s="86"/>
      <c r="N12" s="86"/>
      <c r="O12" s="86"/>
      <c r="P12" s="86"/>
      <c r="Q12" s="86"/>
      <c r="R12" s="89"/>
      <c r="S12" s="89"/>
      <c r="T12" s="89"/>
      <c r="U12" s="89"/>
      <c r="V12" s="89"/>
      <c r="W12" s="89"/>
      <c r="X12" s="89"/>
      <c r="Y12" s="89"/>
      <c r="Z12" s="89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</row>
    <row r="13" spans="1:38" s="90" customFormat="1" hidden="1">
      <c r="A13" s="354">
        <v>45414</v>
      </c>
      <c r="B13" s="72" t="s">
        <v>589</v>
      </c>
      <c r="C13" s="59">
        <v>-276000</v>
      </c>
      <c r="D13" s="142" t="s">
        <v>607</v>
      </c>
      <c r="E13" s="142"/>
      <c r="F13" s="142"/>
      <c r="G13" s="86"/>
      <c r="H13" s="86"/>
      <c r="I13" s="86"/>
      <c r="J13" s="86">
        <f>C13</f>
        <v>-276000</v>
      </c>
      <c r="K13" s="86"/>
      <c r="L13" s="86"/>
      <c r="M13" s="86"/>
      <c r="N13" s="86"/>
      <c r="O13" s="86"/>
      <c r="P13" s="86"/>
      <c r="Q13" s="86"/>
      <c r="R13" s="89"/>
      <c r="S13" s="89"/>
      <c r="T13" s="89"/>
      <c r="U13" s="89"/>
      <c r="V13" s="89"/>
      <c r="W13" s="89"/>
      <c r="X13" s="89"/>
      <c r="Y13" s="89"/>
      <c r="Z13" s="89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</row>
    <row r="14" spans="1:38" s="90" customFormat="1" hidden="1">
      <c r="A14" s="354">
        <v>45414</v>
      </c>
      <c r="B14" s="72" t="s">
        <v>589</v>
      </c>
      <c r="C14" s="59">
        <v>-409500</v>
      </c>
      <c r="D14" s="142" t="s">
        <v>607</v>
      </c>
      <c r="E14" s="142"/>
      <c r="F14" s="142"/>
      <c r="G14" s="86"/>
      <c r="H14" s="86"/>
      <c r="I14" s="86"/>
      <c r="J14" s="86">
        <f>C14</f>
        <v>-409500</v>
      </c>
      <c r="K14" s="86"/>
      <c r="L14" s="86"/>
      <c r="M14" s="86"/>
      <c r="N14" s="86"/>
      <c r="O14" s="86"/>
      <c r="P14" s="86"/>
      <c r="Q14" s="86"/>
      <c r="R14" s="89"/>
      <c r="S14" s="89"/>
      <c r="T14" s="89"/>
      <c r="U14" s="89"/>
      <c r="V14" s="89"/>
      <c r="W14" s="89"/>
      <c r="X14" s="89"/>
      <c r="Y14" s="89"/>
      <c r="Z14" s="89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</row>
    <row r="15" spans="1:38" s="90" customFormat="1" hidden="1">
      <c r="A15" s="354">
        <v>45414</v>
      </c>
      <c r="B15" s="72" t="s">
        <v>879</v>
      </c>
      <c r="C15" s="59">
        <v>-315500</v>
      </c>
      <c r="D15" s="142" t="s">
        <v>454</v>
      </c>
      <c r="E15" s="142"/>
      <c r="F15" s="142"/>
      <c r="G15" s="86"/>
      <c r="H15" s="86">
        <f>C15</f>
        <v>-315500</v>
      </c>
      <c r="I15" s="86"/>
      <c r="J15" s="86"/>
      <c r="K15" s="86"/>
      <c r="L15" s="86"/>
      <c r="M15" s="86"/>
      <c r="N15" s="86"/>
      <c r="O15" s="86"/>
      <c r="P15" s="86"/>
      <c r="Q15" s="86"/>
      <c r="R15" s="89"/>
      <c r="S15" s="89"/>
      <c r="T15" s="89"/>
      <c r="U15" s="89"/>
      <c r="V15" s="89"/>
      <c r="W15" s="89"/>
      <c r="X15" s="89"/>
      <c r="Y15" s="89"/>
      <c r="Z15" s="89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</row>
    <row r="16" spans="1:38" s="90" customFormat="1" hidden="1">
      <c r="A16" s="354">
        <v>45414</v>
      </c>
      <c r="B16" s="72" t="s">
        <v>881</v>
      </c>
      <c r="C16" s="59">
        <v>-73500</v>
      </c>
      <c r="D16" s="142" t="s">
        <v>188</v>
      </c>
      <c r="E16" s="142"/>
      <c r="F16" s="142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9"/>
      <c r="S16" s="89"/>
      <c r="T16" s="89"/>
      <c r="U16" s="89"/>
      <c r="V16" s="89"/>
      <c r="W16" s="89">
        <f>C16</f>
        <v>-73500</v>
      </c>
      <c r="X16" s="89"/>
      <c r="Y16" s="89"/>
      <c r="Z16" s="89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</row>
    <row r="17" spans="1:38" s="90" customFormat="1" hidden="1">
      <c r="A17" s="354">
        <v>45414</v>
      </c>
      <c r="B17" s="72" t="s">
        <v>879</v>
      </c>
      <c r="C17" s="59">
        <v>-34000</v>
      </c>
      <c r="D17" s="142" t="s">
        <v>454</v>
      </c>
      <c r="E17" s="142"/>
      <c r="F17" s="142"/>
      <c r="G17" s="86"/>
      <c r="H17" s="86">
        <f>C17</f>
        <v>-34000</v>
      </c>
      <c r="I17" s="86"/>
      <c r="J17" s="86"/>
      <c r="K17" s="86"/>
      <c r="L17" s="86"/>
      <c r="M17" s="86"/>
      <c r="N17" s="86"/>
      <c r="O17" s="86"/>
      <c r="P17" s="86"/>
      <c r="Q17" s="86"/>
      <c r="R17" s="89"/>
      <c r="S17" s="89"/>
      <c r="T17" s="89"/>
      <c r="U17" s="89"/>
      <c r="V17" s="89"/>
      <c r="W17" s="89"/>
      <c r="X17" s="89"/>
      <c r="Y17" s="89"/>
      <c r="Z17" s="89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</row>
    <row r="18" spans="1:38" s="90" customFormat="1" hidden="1">
      <c r="A18" s="354">
        <v>45415</v>
      </c>
      <c r="B18" s="72" t="s">
        <v>577</v>
      </c>
      <c r="C18" s="59">
        <v>-11000</v>
      </c>
      <c r="D18" s="142" t="s">
        <v>453</v>
      </c>
      <c r="E18" s="142"/>
      <c r="F18" s="142"/>
      <c r="G18" s="86"/>
      <c r="H18" s="86"/>
      <c r="I18" s="86"/>
      <c r="J18" s="86"/>
      <c r="K18" s="86">
        <f>C18</f>
        <v>-11000</v>
      </c>
      <c r="L18" s="86"/>
      <c r="M18" s="86"/>
      <c r="N18" s="86"/>
      <c r="O18" s="86"/>
      <c r="P18" s="86"/>
      <c r="Q18" s="86"/>
      <c r="R18" s="89"/>
      <c r="S18" s="89"/>
      <c r="T18" s="89"/>
      <c r="U18" s="89"/>
      <c r="V18" s="89"/>
      <c r="W18" s="89"/>
      <c r="X18" s="89"/>
      <c r="Y18" s="89"/>
      <c r="Z18" s="89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</row>
    <row r="19" spans="1:38" s="90" customFormat="1" hidden="1">
      <c r="A19" s="354">
        <v>45415</v>
      </c>
      <c r="B19" s="72" t="s">
        <v>883</v>
      </c>
      <c r="C19" s="59">
        <v>-20000</v>
      </c>
      <c r="D19" s="142" t="s">
        <v>454</v>
      </c>
      <c r="E19" s="142"/>
      <c r="F19" s="142"/>
      <c r="G19" s="86"/>
      <c r="H19" s="86">
        <f>C19</f>
        <v>-20000</v>
      </c>
      <c r="I19" s="86"/>
      <c r="J19" s="86"/>
      <c r="K19" s="86"/>
      <c r="L19" s="86"/>
      <c r="M19" s="86"/>
      <c r="N19" s="86"/>
      <c r="O19" s="86"/>
      <c r="P19" s="86"/>
      <c r="Q19" s="86"/>
      <c r="R19" s="89"/>
      <c r="S19" s="89"/>
      <c r="T19" s="89"/>
      <c r="U19" s="89"/>
      <c r="V19" s="89"/>
      <c r="W19" s="89"/>
      <c r="X19" s="89"/>
      <c r="Y19" s="89"/>
      <c r="Z19" s="89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</row>
    <row r="20" spans="1:38" s="90" customFormat="1" hidden="1">
      <c r="A20" s="354">
        <v>45415</v>
      </c>
      <c r="B20" s="72" t="s">
        <v>884</v>
      </c>
      <c r="C20" s="59">
        <v>-2138000</v>
      </c>
      <c r="D20" s="142" t="s">
        <v>454</v>
      </c>
      <c r="E20" s="142"/>
      <c r="F20" s="142"/>
      <c r="G20" s="86"/>
      <c r="H20" s="86">
        <f>C20</f>
        <v>-2138000</v>
      </c>
      <c r="I20" s="86"/>
      <c r="J20" s="86"/>
      <c r="K20" s="86"/>
      <c r="L20" s="86"/>
      <c r="M20" s="86"/>
      <c r="N20" s="86"/>
      <c r="O20" s="86"/>
      <c r="P20" s="86"/>
      <c r="Q20" s="86"/>
      <c r="R20" s="89"/>
      <c r="S20" s="89"/>
      <c r="T20" s="89"/>
      <c r="U20" s="89"/>
      <c r="V20" s="89"/>
      <c r="W20" s="89"/>
      <c r="X20" s="89"/>
      <c r="Y20" s="89"/>
      <c r="Z20" s="89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</row>
    <row r="21" spans="1:38" s="90" customFormat="1" hidden="1">
      <c r="A21" s="354">
        <v>45415</v>
      </c>
      <c r="B21" s="72" t="s">
        <v>887</v>
      </c>
      <c r="C21" s="59">
        <v>-65000</v>
      </c>
      <c r="D21" s="142" t="s">
        <v>25</v>
      </c>
      <c r="E21" s="142"/>
      <c r="F21" s="142"/>
      <c r="G21" s="86">
        <f>C21</f>
        <v>-65000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9"/>
      <c r="S21" s="89"/>
      <c r="T21" s="89"/>
      <c r="U21" s="89"/>
      <c r="V21" s="89"/>
      <c r="W21" s="89"/>
      <c r="X21" s="89"/>
      <c r="Y21" s="89"/>
      <c r="Z21" s="89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</row>
    <row r="22" spans="1:38" s="90" customFormat="1" hidden="1">
      <c r="A22" s="354">
        <v>45415</v>
      </c>
      <c r="B22" s="72" t="s">
        <v>888</v>
      </c>
      <c r="C22" s="59">
        <v>-229000</v>
      </c>
      <c r="D22" s="142" t="s">
        <v>454</v>
      </c>
      <c r="E22" s="142"/>
      <c r="F22" s="142"/>
      <c r="G22" s="86"/>
      <c r="H22" s="86">
        <f>C22</f>
        <v>-229000</v>
      </c>
      <c r="I22" s="86"/>
      <c r="J22" s="86"/>
      <c r="K22" s="86"/>
      <c r="L22" s="86"/>
      <c r="M22" s="86"/>
      <c r="N22" s="86"/>
      <c r="O22" s="86"/>
      <c r="P22" s="86"/>
      <c r="Q22" s="86"/>
      <c r="R22" s="89"/>
      <c r="S22" s="89"/>
      <c r="T22" s="89"/>
      <c r="U22" s="89"/>
      <c r="V22" s="89"/>
      <c r="W22" s="89"/>
      <c r="X22" s="89"/>
      <c r="Y22" s="89"/>
      <c r="Z22" s="89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</row>
    <row r="23" spans="1:38" s="90" customFormat="1" hidden="1">
      <c r="A23" s="354">
        <v>45415</v>
      </c>
      <c r="B23" s="72" t="s">
        <v>589</v>
      </c>
      <c r="C23" s="59">
        <v>-349400</v>
      </c>
      <c r="D23" s="142" t="s">
        <v>607</v>
      </c>
      <c r="E23" s="142"/>
      <c r="F23" s="142"/>
      <c r="G23" s="86"/>
      <c r="H23" s="86"/>
      <c r="I23" s="86"/>
      <c r="J23" s="86">
        <f>C23</f>
        <v>-349400</v>
      </c>
      <c r="K23" s="86"/>
      <c r="L23" s="86"/>
      <c r="M23" s="86"/>
      <c r="N23" s="86"/>
      <c r="O23" s="86"/>
      <c r="P23" s="86"/>
      <c r="Q23" s="86"/>
      <c r="R23" s="89"/>
      <c r="S23" s="89"/>
      <c r="T23" s="89"/>
      <c r="U23" s="89"/>
      <c r="V23" s="89"/>
      <c r="W23" s="89"/>
      <c r="X23" s="89"/>
      <c r="Y23" s="89"/>
      <c r="Z23" s="89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</row>
    <row r="24" spans="1:38" s="90" customFormat="1" hidden="1">
      <c r="A24" s="354">
        <v>45415</v>
      </c>
      <c r="B24" s="72" t="s">
        <v>600</v>
      </c>
      <c r="C24" s="59">
        <v>-77394</v>
      </c>
      <c r="D24" s="142" t="s">
        <v>134</v>
      </c>
      <c r="E24" s="142"/>
      <c r="F24" s="142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9"/>
      <c r="S24" s="89"/>
      <c r="T24" s="89"/>
      <c r="U24" s="89"/>
      <c r="V24" s="89"/>
      <c r="W24" s="89"/>
      <c r="X24" s="89"/>
      <c r="Y24" s="89"/>
      <c r="Z24" s="89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>
        <f>C24</f>
        <v>-77394</v>
      </c>
      <c r="AL24" s="86"/>
    </row>
    <row r="25" spans="1:38" s="90" customFormat="1" hidden="1">
      <c r="A25" s="354">
        <v>45415</v>
      </c>
      <c r="B25" s="72" t="s">
        <v>889</v>
      </c>
      <c r="C25" s="59">
        <v>-304000</v>
      </c>
      <c r="D25" s="142" t="s">
        <v>25</v>
      </c>
      <c r="E25" s="142"/>
      <c r="F25" s="142"/>
      <c r="G25" s="86">
        <f>C25</f>
        <v>-304000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9"/>
      <c r="S25" s="89"/>
      <c r="T25" s="89"/>
      <c r="U25" s="89"/>
      <c r="V25" s="89"/>
      <c r="W25" s="89"/>
      <c r="X25" s="89"/>
      <c r="Y25" s="89"/>
      <c r="Z25" s="89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</row>
    <row r="26" spans="1:38" s="90" customFormat="1" hidden="1">
      <c r="A26" s="354">
        <v>45415</v>
      </c>
      <c r="B26" s="72" t="s">
        <v>890</v>
      </c>
      <c r="C26" s="59">
        <v>-2500000</v>
      </c>
      <c r="D26" s="142" t="s">
        <v>455</v>
      </c>
      <c r="E26" s="142"/>
      <c r="F26" s="142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9"/>
      <c r="S26" s="89"/>
      <c r="T26" s="89"/>
      <c r="U26" s="89"/>
      <c r="V26" s="89"/>
      <c r="W26" s="89"/>
      <c r="X26" s="89"/>
      <c r="Y26" s="89"/>
      <c r="Z26" s="89"/>
      <c r="AA26" s="86"/>
      <c r="AB26" s="86"/>
      <c r="AC26" s="86"/>
      <c r="AD26" s="86"/>
      <c r="AE26" s="86"/>
      <c r="AF26" s="86"/>
      <c r="AG26" s="86">
        <f>C26</f>
        <v>-2500000</v>
      </c>
      <c r="AH26" s="86"/>
      <c r="AI26" s="86"/>
      <c r="AJ26" s="86"/>
      <c r="AK26" s="86"/>
      <c r="AL26" s="86"/>
    </row>
    <row r="27" spans="1:38" s="90" customFormat="1" hidden="1">
      <c r="A27" s="354">
        <v>45415</v>
      </c>
      <c r="B27" s="72" t="s">
        <v>579</v>
      </c>
      <c r="C27" s="59">
        <v>-1032000</v>
      </c>
      <c r="D27" s="142" t="s">
        <v>454</v>
      </c>
      <c r="E27" s="142"/>
      <c r="F27" s="142"/>
      <c r="G27" s="86"/>
      <c r="H27" s="86">
        <f>C27</f>
        <v>-1032000</v>
      </c>
      <c r="I27" s="86"/>
      <c r="J27" s="86"/>
      <c r="K27" s="86"/>
      <c r="L27" s="86"/>
      <c r="M27" s="86"/>
      <c r="N27" s="86"/>
      <c r="O27" s="86"/>
      <c r="P27" s="86"/>
      <c r="Q27" s="86"/>
      <c r="R27" s="89"/>
      <c r="S27" s="89"/>
      <c r="T27" s="89"/>
      <c r="U27" s="89"/>
      <c r="V27" s="89"/>
      <c r="W27" s="89"/>
      <c r="X27" s="89"/>
      <c r="Y27" s="89"/>
      <c r="Z27" s="89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</row>
    <row r="28" spans="1:38" s="90" customFormat="1" hidden="1">
      <c r="A28" s="354">
        <v>45415</v>
      </c>
      <c r="B28" s="418" t="s">
        <v>591</v>
      </c>
      <c r="C28" s="59">
        <v>-3250000</v>
      </c>
      <c r="D28" s="142" t="s">
        <v>454</v>
      </c>
      <c r="E28" s="142"/>
      <c r="F28" s="142"/>
      <c r="G28" s="86"/>
      <c r="H28" s="86">
        <f>C28</f>
        <v>-3250000</v>
      </c>
      <c r="I28" s="86"/>
      <c r="J28" s="86"/>
      <c r="K28" s="86"/>
      <c r="L28" s="86"/>
      <c r="M28" s="86"/>
      <c r="N28" s="86"/>
      <c r="O28" s="86"/>
      <c r="P28" s="86"/>
      <c r="Q28" s="86"/>
      <c r="R28" s="89"/>
      <c r="S28" s="89"/>
      <c r="T28" s="89"/>
      <c r="U28" s="89"/>
      <c r="V28" s="89"/>
      <c r="W28" s="89"/>
      <c r="X28" s="89"/>
      <c r="Y28" s="89"/>
      <c r="Z28" s="89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</row>
    <row r="29" spans="1:38" s="90" customFormat="1" hidden="1">
      <c r="A29" s="354">
        <v>45416</v>
      </c>
      <c r="B29" s="72" t="s">
        <v>577</v>
      </c>
      <c r="C29" s="59">
        <v>-11000</v>
      </c>
      <c r="D29" s="142" t="s">
        <v>453</v>
      </c>
      <c r="E29" s="142"/>
      <c r="F29" s="142"/>
      <c r="G29" s="86"/>
      <c r="H29" s="86"/>
      <c r="I29" s="86"/>
      <c r="J29" s="86"/>
      <c r="K29" s="86">
        <f>C29</f>
        <v>-11000</v>
      </c>
      <c r="L29" s="86"/>
      <c r="M29" s="86"/>
      <c r="N29" s="86"/>
      <c r="O29" s="86"/>
      <c r="P29" s="86"/>
      <c r="Q29" s="86"/>
      <c r="R29" s="89"/>
      <c r="S29" s="89"/>
      <c r="T29" s="89"/>
      <c r="U29" s="89"/>
      <c r="V29" s="89"/>
      <c r="W29" s="89"/>
      <c r="X29" s="89"/>
      <c r="Y29" s="89"/>
      <c r="Z29" s="89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</row>
    <row r="30" spans="1:38" s="90" customFormat="1" hidden="1">
      <c r="A30" s="354">
        <v>45416</v>
      </c>
      <c r="B30" s="72" t="s">
        <v>595</v>
      </c>
      <c r="C30" s="59">
        <v>-10000</v>
      </c>
      <c r="D30" s="142" t="s">
        <v>454</v>
      </c>
      <c r="E30" s="142"/>
      <c r="F30" s="142"/>
      <c r="G30" s="86"/>
      <c r="H30" s="86">
        <f>C30</f>
        <v>-10000</v>
      </c>
      <c r="I30" s="86"/>
      <c r="J30" s="86"/>
      <c r="K30" s="86"/>
      <c r="L30" s="86"/>
      <c r="M30" s="86"/>
      <c r="N30" s="86"/>
      <c r="O30" s="86"/>
      <c r="P30" s="86"/>
      <c r="Q30" s="86"/>
      <c r="R30" s="89"/>
      <c r="S30" s="89"/>
      <c r="T30" s="89"/>
      <c r="U30" s="89"/>
      <c r="V30" s="89"/>
      <c r="W30" s="89"/>
      <c r="X30" s="89"/>
      <c r="Y30" s="89"/>
      <c r="Z30" s="89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</row>
    <row r="31" spans="1:38" s="90" customFormat="1" hidden="1">
      <c r="A31" s="354">
        <v>45416</v>
      </c>
      <c r="B31" s="72" t="s">
        <v>893</v>
      </c>
      <c r="C31" s="59">
        <v>-300000</v>
      </c>
      <c r="D31" s="142" t="s">
        <v>453</v>
      </c>
      <c r="E31" s="142"/>
      <c r="F31" s="142"/>
      <c r="G31" s="86"/>
      <c r="H31" s="86"/>
      <c r="I31" s="86"/>
      <c r="J31" s="86"/>
      <c r="K31" s="86">
        <f>C31</f>
        <v>-300000</v>
      </c>
      <c r="L31" s="86"/>
      <c r="M31" s="86"/>
      <c r="N31" s="86"/>
      <c r="O31" s="86"/>
      <c r="P31" s="86"/>
      <c r="Q31" s="86"/>
      <c r="R31" s="89"/>
      <c r="S31" s="89"/>
      <c r="T31" s="89"/>
      <c r="U31" s="89"/>
      <c r="V31" s="89"/>
      <c r="W31" s="89"/>
      <c r="X31" s="89"/>
      <c r="Y31" s="89"/>
      <c r="Z31" s="89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</row>
    <row r="32" spans="1:38" s="90" customFormat="1" hidden="1">
      <c r="A32" s="354">
        <v>45416</v>
      </c>
      <c r="B32" s="72" t="s">
        <v>894</v>
      </c>
      <c r="C32" s="59">
        <v>-200000</v>
      </c>
      <c r="D32" s="142" t="s">
        <v>453</v>
      </c>
      <c r="E32" s="142"/>
      <c r="F32" s="142"/>
      <c r="G32" s="86"/>
      <c r="H32" s="86"/>
      <c r="I32" s="86"/>
      <c r="J32" s="86"/>
      <c r="K32" s="86">
        <f>C32</f>
        <v>-200000</v>
      </c>
      <c r="L32" s="86"/>
      <c r="M32" s="86"/>
      <c r="N32" s="86"/>
      <c r="O32" s="86"/>
      <c r="P32" s="86"/>
      <c r="Q32" s="86"/>
      <c r="R32" s="89"/>
      <c r="S32" s="89"/>
      <c r="T32" s="89"/>
      <c r="U32" s="89"/>
      <c r="V32" s="89"/>
      <c r="W32" s="89"/>
      <c r="X32" s="89"/>
      <c r="Y32" s="89"/>
      <c r="Z32" s="89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</row>
    <row r="33" spans="1:38" s="90" customFormat="1" hidden="1">
      <c r="A33" s="354">
        <v>45416</v>
      </c>
      <c r="B33" s="72" t="s">
        <v>896</v>
      </c>
      <c r="C33" s="93">
        <v>-200031</v>
      </c>
      <c r="D33" s="142" t="s">
        <v>453</v>
      </c>
      <c r="E33" s="142"/>
      <c r="F33" s="142"/>
      <c r="G33" s="86"/>
      <c r="H33" s="86"/>
      <c r="I33" s="86"/>
      <c r="J33" s="86"/>
      <c r="K33" s="86">
        <f>C33</f>
        <v>-200031</v>
      </c>
      <c r="L33" s="86"/>
      <c r="M33" s="86"/>
      <c r="N33" s="86"/>
      <c r="O33" s="86"/>
      <c r="P33" s="86"/>
      <c r="Q33" s="86"/>
      <c r="R33" s="89"/>
      <c r="S33" s="89"/>
      <c r="T33" s="89"/>
      <c r="U33" s="89"/>
      <c r="V33" s="89"/>
      <c r="W33" s="89"/>
      <c r="X33" s="89"/>
      <c r="Y33" s="89"/>
      <c r="Z33" s="89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</row>
    <row r="34" spans="1:38" s="90" customFormat="1" hidden="1">
      <c r="A34" s="354">
        <v>45416</v>
      </c>
      <c r="B34" s="72" t="s">
        <v>897</v>
      </c>
      <c r="C34" s="93">
        <v>-65000</v>
      </c>
      <c r="D34" s="142" t="s">
        <v>25</v>
      </c>
      <c r="E34" s="142"/>
      <c r="F34" s="142"/>
      <c r="G34" s="86">
        <f>C34</f>
        <v>-65000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9"/>
      <c r="S34" s="89"/>
      <c r="T34" s="89"/>
      <c r="U34" s="89"/>
      <c r="V34" s="89"/>
      <c r="W34" s="89"/>
      <c r="X34" s="89"/>
      <c r="Y34" s="89"/>
      <c r="Z34" s="89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</row>
    <row r="35" spans="1:38" s="90" customFormat="1" hidden="1">
      <c r="A35" s="354">
        <v>45416</v>
      </c>
      <c r="B35" s="72" t="s">
        <v>898</v>
      </c>
      <c r="C35" s="93">
        <v>-147900</v>
      </c>
      <c r="D35" s="142" t="s">
        <v>32</v>
      </c>
      <c r="E35" s="142"/>
      <c r="F35" s="142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9"/>
      <c r="S35" s="89"/>
      <c r="T35" s="89"/>
      <c r="U35" s="89"/>
      <c r="V35" s="89"/>
      <c r="W35" s="89"/>
      <c r="X35" s="89"/>
      <c r="Y35" s="89"/>
      <c r="Z35" s="89"/>
      <c r="AA35" s="86"/>
      <c r="AB35" s="86">
        <f>C35</f>
        <v>-147900</v>
      </c>
      <c r="AC35" s="86"/>
      <c r="AD35" s="86"/>
      <c r="AE35" s="86"/>
      <c r="AF35" s="86"/>
      <c r="AG35" s="86"/>
      <c r="AH35" s="86"/>
      <c r="AI35" s="86"/>
      <c r="AJ35" s="86"/>
      <c r="AK35" s="86"/>
      <c r="AL35" s="86"/>
    </row>
    <row r="36" spans="1:38" s="90" customFormat="1" hidden="1">
      <c r="A36" s="354">
        <v>45416</v>
      </c>
      <c r="B36" s="72" t="s">
        <v>591</v>
      </c>
      <c r="C36" s="93">
        <v>-191000</v>
      </c>
      <c r="D36" s="142" t="s">
        <v>454</v>
      </c>
      <c r="E36" s="142"/>
      <c r="F36" s="142"/>
      <c r="G36" s="86"/>
      <c r="H36" s="86">
        <f>C36</f>
        <v>-191000</v>
      </c>
      <c r="I36" s="86"/>
      <c r="J36" s="86"/>
      <c r="K36" s="86"/>
      <c r="L36" s="86"/>
      <c r="M36" s="86"/>
      <c r="N36" s="86"/>
      <c r="O36" s="86"/>
      <c r="P36" s="86"/>
      <c r="Q36" s="86"/>
      <c r="R36" s="89"/>
      <c r="S36" s="89"/>
      <c r="T36" s="89"/>
      <c r="U36" s="89"/>
      <c r="V36" s="89"/>
      <c r="W36" s="89"/>
      <c r="X36" s="89"/>
      <c r="Y36" s="89"/>
      <c r="Z36" s="89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</row>
    <row r="37" spans="1:38" s="90" customFormat="1" hidden="1">
      <c r="A37" s="354">
        <v>45416</v>
      </c>
      <c r="B37" s="72" t="s">
        <v>901</v>
      </c>
      <c r="C37" s="93">
        <v>-10000</v>
      </c>
      <c r="D37" s="142" t="s">
        <v>134</v>
      </c>
      <c r="E37" s="142"/>
      <c r="F37" s="142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9"/>
      <c r="S37" s="89"/>
      <c r="T37" s="89"/>
      <c r="U37" s="89"/>
      <c r="V37" s="89"/>
      <c r="W37" s="89"/>
      <c r="X37" s="89"/>
      <c r="Y37" s="89"/>
      <c r="Z37" s="89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>
        <f>C37</f>
        <v>-10000</v>
      </c>
      <c r="AL37" s="86"/>
    </row>
    <row r="38" spans="1:38" s="90" customFormat="1" hidden="1">
      <c r="A38" s="354">
        <v>45416</v>
      </c>
      <c r="B38" s="72" t="s">
        <v>599</v>
      </c>
      <c r="C38" s="93">
        <v>-64000</v>
      </c>
      <c r="D38" s="142" t="s">
        <v>454</v>
      </c>
      <c r="E38" s="142"/>
      <c r="F38" s="142"/>
      <c r="G38" s="86"/>
      <c r="H38" s="86">
        <f>C38</f>
        <v>-64000</v>
      </c>
      <c r="I38" s="86"/>
      <c r="J38" s="86"/>
      <c r="K38" s="86"/>
      <c r="L38" s="86"/>
      <c r="M38" s="86"/>
      <c r="N38" s="86"/>
      <c r="O38" s="86"/>
      <c r="P38" s="86"/>
      <c r="Q38" s="86"/>
      <c r="R38" s="89"/>
      <c r="S38" s="89"/>
      <c r="T38" s="89"/>
      <c r="U38" s="89"/>
      <c r="V38" s="89"/>
      <c r="W38" s="89"/>
      <c r="X38" s="89"/>
      <c r="Y38" s="89"/>
      <c r="Z38" s="89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</row>
    <row r="39" spans="1:38" s="90" customFormat="1" hidden="1">
      <c r="A39" s="354">
        <v>45417</v>
      </c>
      <c r="B39" s="72" t="s">
        <v>577</v>
      </c>
      <c r="C39" s="93">
        <v>-11000</v>
      </c>
      <c r="D39" s="142" t="s">
        <v>453</v>
      </c>
      <c r="E39" s="142"/>
      <c r="F39" s="142"/>
      <c r="G39" s="86"/>
      <c r="H39" s="86"/>
      <c r="I39" s="86"/>
      <c r="J39" s="86"/>
      <c r="K39" s="86">
        <f>C39</f>
        <v>-11000</v>
      </c>
      <c r="L39" s="86"/>
      <c r="M39" s="86"/>
      <c r="N39" s="86"/>
      <c r="O39" s="86"/>
      <c r="P39" s="86"/>
      <c r="Q39" s="86"/>
      <c r="R39" s="89"/>
      <c r="S39" s="89"/>
      <c r="T39" s="89"/>
      <c r="U39" s="89"/>
      <c r="V39" s="89"/>
      <c r="W39" s="89"/>
      <c r="X39" s="89"/>
      <c r="Y39" s="89"/>
      <c r="Z39" s="89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</row>
    <row r="40" spans="1:38" s="90" customFormat="1" hidden="1">
      <c r="A40" s="354">
        <v>45417</v>
      </c>
      <c r="B40" s="72" t="s">
        <v>591</v>
      </c>
      <c r="C40" s="93">
        <v>-3736000</v>
      </c>
      <c r="D40" s="142" t="s">
        <v>454</v>
      </c>
      <c r="E40" s="142"/>
      <c r="F40" s="142"/>
      <c r="G40" s="86"/>
      <c r="H40" s="86">
        <f>C40</f>
        <v>-3736000</v>
      </c>
      <c r="I40" s="86"/>
      <c r="J40" s="86"/>
      <c r="K40" s="86"/>
      <c r="L40" s="86"/>
      <c r="M40" s="86"/>
      <c r="N40" s="86"/>
      <c r="O40" s="86"/>
      <c r="P40" s="86"/>
      <c r="Q40" s="86"/>
      <c r="R40" s="89"/>
      <c r="S40" s="89"/>
      <c r="T40" s="89"/>
      <c r="U40" s="89"/>
      <c r="V40" s="89"/>
      <c r="W40" s="89"/>
      <c r="X40" s="89"/>
      <c r="Y40" s="89"/>
      <c r="Z40" s="89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</row>
    <row r="41" spans="1:38" s="90" customFormat="1" hidden="1">
      <c r="A41" s="354">
        <v>45417</v>
      </c>
      <c r="B41" s="72" t="s">
        <v>903</v>
      </c>
      <c r="C41" s="93">
        <v>-20000</v>
      </c>
      <c r="D41" s="142" t="s">
        <v>454</v>
      </c>
      <c r="E41" s="142"/>
      <c r="F41" s="142"/>
      <c r="G41" s="86"/>
      <c r="H41" s="86">
        <f>C41</f>
        <v>-20000</v>
      </c>
      <c r="I41" s="86"/>
      <c r="J41" s="86"/>
      <c r="K41" s="86"/>
      <c r="L41" s="86"/>
      <c r="M41" s="86"/>
      <c r="N41" s="86"/>
      <c r="O41" s="86"/>
      <c r="P41" s="86"/>
      <c r="Q41" s="86"/>
      <c r="R41" s="89"/>
      <c r="S41" s="89"/>
      <c r="T41" s="89"/>
      <c r="U41" s="89"/>
      <c r="V41" s="89"/>
      <c r="W41" s="89"/>
      <c r="X41" s="89"/>
      <c r="Y41" s="89"/>
      <c r="Z41" s="89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</row>
    <row r="42" spans="1:38" s="90" customFormat="1" hidden="1">
      <c r="A42" s="354">
        <v>45417</v>
      </c>
      <c r="B42" s="72" t="s">
        <v>604</v>
      </c>
      <c r="C42" s="93">
        <v>-440500</v>
      </c>
      <c r="D42" s="142" t="s">
        <v>607</v>
      </c>
      <c r="E42" s="142"/>
      <c r="F42" s="142"/>
      <c r="G42" s="86"/>
      <c r="H42" s="86"/>
      <c r="I42" s="86"/>
      <c r="J42" s="86">
        <f>C42</f>
        <v>-440500</v>
      </c>
      <c r="K42" s="86"/>
      <c r="L42" s="86"/>
      <c r="M42" s="86"/>
      <c r="N42" s="86"/>
      <c r="O42" s="86"/>
      <c r="P42" s="86"/>
      <c r="Q42" s="86"/>
      <c r="R42" s="89"/>
      <c r="S42" s="89"/>
      <c r="T42" s="89"/>
      <c r="U42" s="89"/>
      <c r="V42" s="89"/>
      <c r="W42" s="89"/>
      <c r="X42" s="89"/>
      <c r="Y42" s="89"/>
      <c r="Z42" s="89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</row>
    <row r="43" spans="1:38" s="90" customFormat="1" hidden="1">
      <c r="A43" s="354">
        <v>45417</v>
      </c>
      <c r="B43" s="72" t="s">
        <v>591</v>
      </c>
      <c r="C43" s="93">
        <v>-92000</v>
      </c>
      <c r="D43" s="142" t="s">
        <v>454</v>
      </c>
      <c r="E43" s="142"/>
      <c r="F43" s="142"/>
      <c r="G43" s="86"/>
      <c r="H43" s="86">
        <f>C43</f>
        <v>-92000</v>
      </c>
      <c r="I43" s="86"/>
      <c r="J43" s="86"/>
      <c r="K43" s="86"/>
      <c r="L43" s="86"/>
      <c r="M43" s="86"/>
      <c r="N43" s="86"/>
      <c r="O43" s="86"/>
      <c r="P43" s="86"/>
      <c r="Q43" s="86"/>
      <c r="R43" s="89"/>
      <c r="S43" s="89"/>
      <c r="T43" s="89"/>
      <c r="U43" s="89"/>
      <c r="V43" s="89"/>
      <c r="W43" s="89"/>
      <c r="X43" s="89"/>
      <c r="Y43" s="89"/>
      <c r="Z43" s="89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</row>
    <row r="44" spans="1:38" s="90" customFormat="1" hidden="1">
      <c r="A44" s="354">
        <v>45417</v>
      </c>
      <c r="B44" s="72" t="s">
        <v>905</v>
      </c>
      <c r="C44" s="93">
        <v>-80000</v>
      </c>
      <c r="D44" s="142" t="s">
        <v>25</v>
      </c>
      <c r="E44" s="142"/>
      <c r="F44" s="142"/>
      <c r="G44" s="86">
        <f>C44</f>
        <v>-80000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9"/>
      <c r="S44" s="89"/>
      <c r="T44" s="89"/>
      <c r="U44" s="89"/>
      <c r="V44" s="89"/>
      <c r="W44" s="89"/>
      <c r="X44" s="89"/>
      <c r="Y44" s="89"/>
      <c r="Z44" s="89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</row>
    <row r="45" spans="1:38" s="90" customFormat="1" hidden="1">
      <c r="A45" s="354">
        <v>45417</v>
      </c>
      <c r="B45" s="72" t="s">
        <v>906</v>
      </c>
      <c r="C45" s="93">
        <v>-75000</v>
      </c>
      <c r="D45" s="142" t="s">
        <v>25</v>
      </c>
      <c r="E45" s="142"/>
      <c r="F45" s="142"/>
      <c r="G45" s="86">
        <f>C45</f>
        <v>-75000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9"/>
      <c r="S45" s="89"/>
      <c r="T45" s="89"/>
      <c r="U45" s="89"/>
      <c r="V45" s="89"/>
      <c r="W45" s="89"/>
      <c r="X45" s="89"/>
      <c r="Y45" s="89"/>
      <c r="Z45" s="89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</row>
    <row r="46" spans="1:38" s="90" customFormat="1" hidden="1">
      <c r="A46" s="354">
        <v>45417</v>
      </c>
      <c r="B46" s="72" t="s">
        <v>907</v>
      </c>
      <c r="C46" s="93">
        <v>-65000</v>
      </c>
      <c r="D46" s="142" t="s">
        <v>25</v>
      </c>
      <c r="E46" s="142"/>
      <c r="F46" s="142"/>
      <c r="G46" s="86">
        <f>C46</f>
        <v>-65000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9"/>
      <c r="S46" s="89"/>
      <c r="T46" s="89"/>
      <c r="U46" s="89"/>
      <c r="V46" s="89"/>
      <c r="W46" s="89"/>
      <c r="X46" s="89"/>
      <c r="Y46" s="89"/>
      <c r="Z46" s="89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</row>
    <row r="47" spans="1:38" s="90" customFormat="1" hidden="1">
      <c r="A47" s="354">
        <v>45417</v>
      </c>
      <c r="B47" s="72" t="s">
        <v>908</v>
      </c>
      <c r="C47" s="93">
        <v>-65000</v>
      </c>
      <c r="D47" s="142" t="s">
        <v>25</v>
      </c>
      <c r="E47" s="142"/>
      <c r="F47" s="142"/>
      <c r="G47" s="86">
        <f>C47</f>
        <v>-65000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9"/>
      <c r="S47" s="89"/>
      <c r="T47" s="89"/>
      <c r="U47" s="89"/>
      <c r="V47" s="89"/>
      <c r="W47" s="89"/>
      <c r="X47" s="89"/>
      <c r="Y47" s="89"/>
      <c r="Z47" s="89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</row>
    <row r="48" spans="1:38" s="90" customFormat="1" hidden="1">
      <c r="A48" s="354">
        <v>45417</v>
      </c>
      <c r="B48" s="72" t="s">
        <v>599</v>
      </c>
      <c r="C48" s="93">
        <v>-18000</v>
      </c>
      <c r="D48" s="142" t="s">
        <v>454</v>
      </c>
      <c r="E48" s="142"/>
      <c r="F48" s="142"/>
      <c r="G48" s="86"/>
      <c r="H48" s="86">
        <f>C48</f>
        <v>-18000</v>
      </c>
      <c r="I48" s="86"/>
      <c r="J48" s="86"/>
      <c r="K48" s="86"/>
      <c r="L48" s="86"/>
      <c r="M48" s="86"/>
      <c r="N48" s="86"/>
      <c r="O48" s="86"/>
      <c r="P48" s="86"/>
      <c r="Q48" s="86"/>
      <c r="R48" s="89"/>
      <c r="S48" s="89"/>
      <c r="T48" s="89"/>
      <c r="U48" s="89"/>
      <c r="V48" s="89"/>
      <c r="W48" s="89"/>
      <c r="X48" s="89"/>
      <c r="Y48" s="89"/>
      <c r="Z48" s="89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</row>
    <row r="49" spans="1:38" s="90" customFormat="1" hidden="1">
      <c r="A49" s="354">
        <v>45418</v>
      </c>
      <c r="B49" s="72" t="s">
        <v>577</v>
      </c>
      <c r="C49" s="93">
        <v>-11000</v>
      </c>
      <c r="D49" s="142" t="s">
        <v>453</v>
      </c>
      <c r="E49" s="142"/>
      <c r="F49" s="142"/>
      <c r="G49" s="86"/>
      <c r="H49" s="86"/>
      <c r="I49" s="86"/>
      <c r="J49" s="86"/>
      <c r="K49" s="86">
        <f>C49</f>
        <v>-11000</v>
      </c>
      <c r="L49" s="86"/>
      <c r="M49" s="86"/>
      <c r="N49" s="86"/>
      <c r="O49" s="86"/>
      <c r="P49" s="86"/>
      <c r="Q49" s="86"/>
      <c r="R49" s="89"/>
      <c r="S49" s="89"/>
      <c r="T49" s="89"/>
      <c r="U49" s="89"/>
      <c r="V49" s="89"/>
      <c r="W49" s="89"/>
      <c r="X49" s="89"/>
      <c r="Y49" s="89"/>
      <c r="Z49" s="89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</row>
    <row r="50" spans="1:38" s="90" customFormat="1" hidden="1">
      <c r="A50" s="354">
        <v>45418</v>
      </c>
      <c r="B50" s="72" t="s">
        <v>909</v>
      </c>
      <c r="C50" s="93">
        <v>-200000</v>
      </c>
      <c r="D50" s="142" t="s">
        <v>607</v>
      </c>
      <c r="E50" s="142"/>
      <c r="F50" s="142"/>
      <c r="G50" s="86"/>
      <c r="H50" s="86"/>
      <c r="I50" s="86"/>
      <c r="J50" s="86">
        <f>C50</f>
        <v>-200000</v>
      </c>
      <c r="K50" s="86"/>
      <c r="L50" s="86"/>
      <c r="M50" s="86"/>
      <c r="N50" s="86"/>
      <c r="O50" s="86"/>
      <c r="P50" s="86"/>
      <c r="Q50" s="86"/>
      <c r="R50" s="89"/>
      <c r="S50" s="89"/>
      <c r="T50" s="89"/>
      <c r="U50" s="89"/>
      <c r="V50" s="89"/>
      <c r="W50" s="89"/>
      <c r="X50" s="89"/>
      <c r="Y50" s="89"/>
      <c r="Z50" s="89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</row>
    <row r="51" spans="1:38" s="90" customFormat="1" hidden="1">
      <c r="A51" s="354">
        <v>45418</v>
      </c>
      <c r="B51" s="72" t="s">
        <v>591</v>
      </c>
      <c r="C51" s="93">
        <v>-1897000</v>
      </c>
      <c r="D51" s="142" t="s">
        <v>454</v>
      </c>
      <c r="E51" s="142"/>
      <c r="F51" s="142"/>
      <c r="G51" s="86"/>
      <c r="H51" s="86">
        <f>C51</f>
        <v>-1897000</v>
      </c>
      <c r="I51" s="86"/>
      <c r="J51" s="86"/>
      <c r="K51" s="86"/>
      <c r="L51" s="86"/>
      <c r="M51" s="86"/>
      <c r="N51" s="86"/>
      <c r="O51" s="86"/>
      <c r="P51" s="86"/>
      <c r="Q51" s="86"/>
      <c r="R51" s="89"/>
      <c r="S51" s="89"/>
      <c r="T51" s="89"/>
      <c r="U51" s="89"/>
      <c r="V51" s="89"/>
      <c r="W51" s="89"/>
      <c r="X51" s="89"/>
      <c r="Y51" s="89"/>
      <c r="Z51" s="89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</row>
    <row r="52" spans="1:38" s="90" customFormat="1" hidden="1">
      <c r="A52" s="354">
        <v>45418</v>
      </c>
      <c r="B52" s="72" t="s">
        <v>911</v>
      </c>
      <c r="C52" s="93">
        <v>-90000</v>
      </c>
      <c r="D52" s="142" t="s">
        <v>454</v>
      </c>
      <c r="E52" s="142"/>
      <c r="F52" s="142"/>
      <c r="G52" s="86"/>
      <c r="H52" s="86">
        <f>C52</f>
        <v>-90000</v>
      </c>
      <c r="I52" s="86"/>
      <c r="J52" s="86"/>
      <c r="K52" s="86"/>
      <c r="L52" s="86"/>
      <c r="M52" s="86"/>
      <c r="N52" s="86"/>
      <c r="O52" s="86"/>
      <c r="P52" s="86"/>
      <c r="Q52" s="86"/>
      <c r="R52" s="89"/>
      <c r="S52" s="89"/>
      <c r="T52" s="89"/>
      <c r="U52" s="89"/>
      <c r="V52" s="89"/>
      <c r="W52" s="89"/>
      <c r="X52" s="89"/>
      <c r="Y52" s="89"/>
      <c r="Z52" s="89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</row>
    <row r="53" spans="1:38" s="90" customFormat="1" hidden="1">
      <c r="A53" s="354">
        <v>45418</v>
      </c>
      <c r="B53" s="72" t="s">
        <v>912</v>
      </c>
      <c r="C53" s="93">
        <v>-65000</v>
      </c>
      <c r="D53" s="142" t="s">
        <v>25</v>
      </c>
      <c r="E53" s="142"/>
      <c r="F53" s="142"/>
      <c r="G53" s="86">
        <f>C53</f>
        <v>-65000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9"/>
      <c r="S53" s="89"/>
      <c r="T53" s="89"/>
      <c r="U53" s="89"/>
      <c r="V53" s="89"/>
      <c r="W53" s="89"/>
      <c r="X53" s="89"/>
      <c r="Y53" s="89"/>
      <c r="Z53" s="89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</row>
    <row r="54" spans="1:38" s="90" customFormat="1" hidden="1">
      <c r="A54" s="354">
        <v>45418</v>
      </c>
      <c r="B54" s="72" t="s">
        <v>584</v>
      </c>
      <c r="C54" s="93">
        <v>-385000</v>
      </c>
      <c r="D54" s="142" t="s">
        <v>454</v>
      </c>
      <c r="E54" s="142"/>
      <c r="F54" s="142"/>
      <c r="G54" s="86"/>
      <c r="H54" s="86">
        <f>C54</f>
        <v>-385000</v>
      </c>
      <c r="I54" s="86"/>
      <c r="J54" s="86"/>
      <c r="K54" s="86"/>
      <c r="L54" s="86"/>
      <c r="M54" s="86"/>
      <c r="N54" s="86"/>
      <c r="O54" s="86"/>
      <c r="P54" s="86"/>
      <c r="Q54" s="86"/>
      <c r="R54" s="89"/>
      <c r="S54" s="89"/>
      <c r="T54" s="89"/>
      <c r="U54" s="89"/>
      <c r="V54" s="89"/>
      <c r="W54" s="89"/>
      <c r="X54" s="89"/>
      <c r="Y54" s="89"/>
      <c r="Z54" s="89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</row>
    <row r="55" spans="1:38" s="90" customFormat="1" hidden="1">
      <c r="A55" s="354">
        <v>45418</v>
      </c>
      <c r="B55" s="72" t="s">
        <v>586</v>
      </c>
      <c r="C55" s="93">
        <v>-418000</v>
      </c>
      <c r="D55" s="142" t="s">
        <v>454</v>
      </c>
      <c r="E55" s="142"/>
      <c r="F55" s="142"/>
      <c r="G55" s="86"/>
      <c r="H55" s="86">
        <f>C55</f>
        <v>-418000</v>
      </c>
      <c r="I55" s="86"/>
      <c r="J55" s="86"/>
      <c r="K55" s="86"/>
      <c r="L55" s="86"/>
      <c r="M55" s="86"/>
      <c r="N55" s="86"/>
      <c r="O55" s="86"/>
      <c r="P55" s="86"/>
      <c r="Q55" s="86"/>
      <c r="R55" s="89"/>
      <c r="S55" s="89"/>
      <c r="T55" s="89"/>
      <c r="U55" s="89"/>
      <c r="V55" s="89"/>
      <c r="W55" s="89"/>
      <c r="X55" s="89"/>
      <c r="Y55" s="89"/>
      <c r="Z55" s="89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</row>
    <row r="56" spans="1:38" s="90" customFormat="1" hidden="1">
      <c r="A56" s="354">
        <v>45418</v>
      </c>
      <c r="B56" s="72" t="s">
        <v>597</v>
      </c>
      <c r="C56" s="93">
        <v>-2282588</v>
      </c>
      <c r="D56" s="142" t="s">
        <v>499</v>
      </c>
      <c r="E56" s="142"/>
      <c r="F56" s="142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9"/>
      <c r="S56" s="89"/>
      <c r="T56" s="89"/>
      <c r="U56" s="89"/>
      <c r="V56" s="89"/>
      <c r="W56" s="89"/>
      <c r="X56" s="89"/>
      <c r="Y56" s="89"/>
      <c r="Z56" s="89"/>
      <c r="AA56" s="86">
        <f>C56</f>
        <v>-2282588</v>
      </c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</row>
    <row r="57" spans="1:38" s="90" customFormat="1" hidden="1">
      <c r="A57" s="354">
        <v>45418</v>
      </c>
      <c r="B57" s="72" t="s">
        <v>913</v>
      </c>
      <c r="C57" s="93">
        <v>-1123850</v>
      </c>
      <c r="D57" s="142" t="s">
        <v>498</v>
      </c>
      <c r="E57" s="142"/>
      <c r="F57" s="142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9"/>
      <c r="S57" s="89"/>
      <c r="T57" s="89"/>
      <c r="U57" s="89"/>
      <c r="V57" s="89"/>
      <c r="W57" s="89"/>
      <c r="X57" s="89"/>
      <c r="Y57" s="89"/>
      <c r="Z57" s="89">
        <f>C57</f>
        <v>-1123850</v>
      </c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</row>
    <row r="58" spans="1:38" s="90" customFormat="1" hidden="1">
      <c r="A58" s="354">
        <v>45418</v>
      </c>
      <c r="B58" s="72" t="s">
        <v>914</v>
      </c>
      <c r="C58" s="93">
        <v>-91300</v>
      </c>
      <c r="D58" s="142" t="s">
        <v>492</v>
      </c>
      <c r="E58" s="142"/>
      <c r="F58" s="142"/>
      <c r="G58" s="86"/>
      <c r="H58" s="86"/>
      <c r="I58" s="86"/>
      <c r="J58" s="86"/>
      <c r="K58" s="86"/>
      <c r="L58" s="86">
        <f>C58</f>
        <v>-91300</v>
      </c>
      <c r="M58" s="86"/>
      <c r="N58" s="86"/>
      <c r="O58" s="86"/>
      <c r="P58" s="86"/>
      <c r="Q58" s="86"/>
      <c r="R58" s="89"/>
      <c r="S58" s="89"/>
      <c r="T58" s="89"/>
      <c r="U58" s="89"/>
      <c r="V58" s="89"/>
      <c r="W58" s="89"/>
      <c r="X58" s="89"/>
      <c r="Y58" s="89"/>
      <c r="Z58" s="89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</row>
    <row r="59" spans="1:38" s="90" customFormat="1" hidden="1">
      <c r="A59" s="354">
        <v>45418</v>
      </c>
      <c r="B59" s="72" t="s">
        <v>915</v>
      </c>
      <c r="C59" s="93">
        <v>-25414053</v>
      </c>
      <c r="D59" s="142" t="s">
        <v>1107</v>
      </c>
      <c r="E59" s="142"/>
      <c r="F59" s="142"/>
      <c r="G59" s="86"/>
      <c r="H59" s="86"/>
      <c r="I59" s="86"/>
      <c r="J59" s="86"/>
      <c r="K59" s="86"/>
      <c r="L59" s="86"/>
      <c r="M59" s="86"/>
      <c r="N59" s="86"/>
      <c r="O59" s="86"/>
      <c r="P59" s="86">
        <v>-662356</v>
      </c>
      <c r="Q59" s="86">
        <v>-2594500</v>
      </c>
      <c r="R59" s="89">
        <v>-1014267</v>
      </c>
      <c r="S59" s="89">
        <v>-20493439</v>
      </c>
      <c r="T59" s="89">
        <v>-568600</v>
      </c>
      <c r="U59" s="89"/>
      <c r="V59" s="89">
        <f>-25000+-55891</f>
        <v>-80891</v>
      </c>
      <c r="W59" s="89"/>
      <c r="X59" s="89"/>
      <c r="Y59" s="89"/>
      <c r="Z59" s="89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</row>
    <row r="60" spans="1:38" s="90" customFormat="1" hidden="1">
      <c r="A60" s="354">
        <v>45418</v>
      </c>
      <c r="B60" s="72" t="s">
        <v>916</v>
      </c>
      <c r="C60" s="93">
        <v>-1750000</v>
      </c>
      <c r="D60" s="142" t="s">
        <v>232</v>
      </c>
      <c r="E60" s="142"/>
      <c r="F60" s="142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9"/>
      <c r="S60" s="89"/>
      <c r="T60" s="89"/>
      <c r="U60" s="89"/>
      <c r="V60" s="89"/>
      <c r="W60" s="89"/>
      <c r="X60" s="89"/>
      <c r="Y60" s="89"/>
      <c r="Z60" s="89"/>
      <c r="AA60" s="86"/>
      <c r="AB60" s="86"/>
      <c r="AC60" s="86">
        <f>C60</f>
        <v>-1750000</v>
      </c>
      <c r="AD60" s="86"/>
      <c r="AE60" s="86"/>
      <c r="AF60" s="86"/>
      <c r="AG60" s="86"/>
      <c r="AH60" s="86"/>
      <c r="AI60" s="86"/>
      <c r="AJ60" s="86"/>
      <c r="AK60" s="86"/>
      <c r="AL60" s="86"/>
    </row>
    <row r="61" spans="1:38" s="90" customFormat="1" hidden="1">
      <c r="A61" s="354">
        <v>45418</v>
      </c>
      <c r="B61" s="72" t="s">
        <v>579</v>
      </c>
      <c r="C61" s="93">
        <v>-340000</v>
      </c>
      <c r="D61" s="142" t="s">
        <v>454</v>
      </c>
      <c r="E61" s="142"/>
      <c r="F61" s="142"/>
      <c r="G61" s="86"/>
      <c r="H61" s="86">
        <f>C61</f>
        <v>-340000</v>
      </c>
      <c r="I61" s="86"/>
      <c r="J61" s="86"/>
      <c r="K61" s="86"/>
      <c r="L61" s="86"/>
      <c r="M61" s="86"/>
      <c r="N61" s="86"/>
      <c r="O61" s="86"/>
      <c r="P61" s="86"/>
      <c r="Q61" s="86"/>
      <c r="R61" s="89"/>
      <c r="S61" s="89"/>
      <c r="T61" s="89"/>
      <c r="U61" s="89"/>
      <c r="V61" s="89"/>
      <c r="W61" s="89"/>
      <c r="X61" s="89"/>
      <c r="Y61" s="89"/>
      <c r="Z61" s="89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</row>
    <row r="62" spans="1:38" s="90" customFormat="1">
      <c r="A62" s="354">
        <v>45418</v>
      </c>
      <c r="B62" s="72" t="s">
        <v>917</v>
      </c>
      <c r="C62" s="93">
        <v>-7044757</v>
      </c>
      <c r="D62" s="142" t="s">
        <v>153</v>
      </c>
      <c r="E62" s="142"/>
      <c r="F62" s="142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9"/>
      <c r="S62" s="89"/>
      <c r="T62" s="89"/>
      <c r="U62" s="89"/>
      <c r="V62" s="89"/>
      <c r="W62" s="89"/>
      <c r="X62" s="89"/>
      <c r="Y62" s="89"/>
      <c r="Z62" s="89"/>
      <c r="AA62" s="86"/>
      <c r="AB62" s="86"/>
      <c r="AC62" s="86"/>
      <c r="AD62" s="86"/>
      <c r="AE62" s="86">
        <f>C62</f>
        <v>-7044757</v>
      </c>
      <c r="AF62" s="86"/>
      <c r="AG62" s="86"/>
      <c r="AH62" s="86"/>
      <c r="AI62" s="86"/>
      <c r="AJ62" s="86"/>
      <c r="AK62" s="86"/>
      <c r="AL62" s="86"/>
    </row>
    <row r="63" spans="1:38" s="90" customFormat="1" hidden="1">
      <c r="A63" s="354">
        <v>45418</v>
      </c>
      <c r="B63" s="72" t="s">
        <v>918</v>
      </c>
      <c r="C63" s="93">
        <v>-500000</v>
      </c>
      <c r="D63" s="142" t="s">
        <v>495</v>
      </c>
      <c r="E63" s="142"/>
      <c r="F63" s="142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9"/>
      <c r="S63" s="89"/>
      <c r="T63" s="89"/>
      <c r="U63" s="89"/>
      <c r="V63" s="89"/>
      <c r="W63" s="89"/>
      <c r="X63" s="89">
        <f>C63</f>
        <v>-500000</v>
      </c>
      <c r="Y63" s="89"/>
      <c r="Z63" s="89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</row>
    <row r="64" spans="1:38" s="90" customFormat="1" hidden="1">
      <c r="A64" s="354">
        <v>45418</v>
      </c>
      <c r="B64" s="72" t="s">
        <v>919</v>
      </c>
      <c r="C64" s="93">
        <v>-10000</v>
      </c>
      <c r="D64" s="142" t="s">
        <v>134</v>
      </c>
      <c r="E64" s="142"/>
      <c r="F64" s="142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9"/>
      <c r="S64" s="89"/>
      <c r="T64" s="89"/>
      <c r="U64" s="89"/>
      <c r="V64" s="89"/>
      <c r="W64" s="89"/>
      <c r="X64" s="89"/>
      <c r="Y64" s="89"/>
      <c r="Z64" s="89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>
        <f>C64</f>
        <v>-10000</v>
      </c>
      <c r="AL64" s="86"/>
    </row>
    <row r="65" spans="1:38" s="90" customFormat="1" hidden="1">
      <c r="A65" s="354">
        <v>45419</v>
      </c>
      <c r="B65" s="72" t="s">
        <v>577</v>
      </c>
      <c r="C65" s="398">
        <v>-11000</v>
      </c>
      <c r="D65" s="142" t="s">
        <v>453</v>
      </c>
      <c r="E65" s="142"/>
      <c r="F65" s="142"/>
      <c r="G65" s="86"/>
      <c r="H65" s="86"/>
      <c r="I65" s="86"/>
      <c r="J65" s="86"/>
      <c r="K65" s="86">
        <f>C65</f>
        <v>-11000</v>
      </c>
      <c r="L65" s="86"/>
      <c r="M65" s="86"/>
      <c r="N65" s="86"/>
      <c r="O65" s="86"/>
      <c r="P65" s="86"/>
      <c r="Q65" s="86"/>
      <c r="R65" s="89"/>
      <c r="S65" s="89"/>
      <c r="T65" s="89"/>
      <c r="U65" s="89"/>
      <c r="V65" s="89"/>
      <c r="W65" s="89"/>
      <c r="X65" s="89"/>
      <c r="Y65" s="89"/>
      <c r="Z65" s="89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</row>
    <row r="66" spans="1:38" s="90" customFormat="1" hidden="1">
      <c r="A66" s="354">
        <v>45419</v>
      </c>
      <c r="B66" s="72" t="s">
        <v>923</v>
      </c>
      <c r="C66" s="398">
        <v>-3300000</v>
      </c>
      <c r="D66" s="142" t="s">
        <v>233</v>
      </c>
      <c r="E66" s="142"/>
      <c r="F66" s="142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9"/>
      <c r="S66" s="89"/>
      <c r="T66" s="89"/>
      <c r="U66" s="89"/>
      <c r="V66" s="89"/>
      <c r="W66" s="89"/>
      <c r="X66" s="89"/>
      <c r="Y66" s="89"/>
      <c r="Z66" s="89"/>
      <c r="AA66" s="86"/>
      <c r="AB66" s="86"/>
      <c r="AC66" s="86"/>
      <c r="AD66" s="86"/>
      <c r="AE66" s="86"/>
      <c r="AF66" s="86">
        <f>C66</f>
        <v>-3300000</v>
      </c>
      <c r="AG66" s="86"/>
      <c r="AH66" s="86"/>
      <c r="AI66" s="86"/>
      <c r="AJ66" s="86"/>
      <c r="AK66" s="86"/>
      <c r="AL66" s="86"/>
    </row>
    <row r="67" spans="1:38" s="90" customFormat="1" hidden="1">
      <c r="A67" s="354">
        <v>45419</v>
      </c>
      <c r="B67" s="72" t="s">
        <v>879</v>
      </c>
      <c r="C67" s="93">
        <v>-938000</v>
      </c>
      <c r="D67" s="142" t="s">
        <v>454</v>
      </c>
      <c r="E67" s="142"/>
      <c r="F67" s="142"/>
      <c r="G67" s="86"/>
      <c r="H67" s="86">
        <f>C67</f>
        <v>-938000</v>
      </c>
      <c r="I67" s="86"/>
      <c r="J67" s="86"/>
      <c r="K67" s="86"/>
      <c r="L67" s="86"/>
      <c r="M67" s="86"/>
      <c r="N67" s="86"/>
      <c r="O67" s="86"/>
      <c r="P67" s="86"/>
      <c r="Q67" s="86"/>
      <c r="R67" s="89"/>
      <c r="S67" s="89"/>
      <c r="T67" s="89"/>
      <c r="U67" s="89"/>
      <c r="V67" s="89"/>
      <c r="W67" s="89"/>
      <c r="X67" s="89"/>
      <c r="Y67" s="89"/>
      <c r="Z67" s="89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</row>
    <row r="68" spans="1:38" s="90" customFormat="1" hidden="1">
      <c r="A68" s="354">
        <v>45419</v>
      </c>
      <c r="B68" s="72" t="s">
        <v>584</v>
      </c>
      <c r="C68" s="93">
        <v>-682500</v>
      </c>
      <c r="D68" s="142" t="s">
        <v>454</v>
      </c>
      <c r="E68" s="142"/>
      <c r="F68" s="142"/>
      <c r="G68" s="86"/>
      <c r="H68" s="86">
        <f>C68</f>
        <v>-682500</v>
      </c>
      <c r="I68" s="86"/>
      <c r="J68" s="86"/>
      <c r="K68" s="86"/>
      <c r="L68" s="86"/>
      <c r="M68" s="86"/>
      <c r="N68" s="86"/>
      <c r="O68" s="86"/>
      <c r="P68" s="86"/>
      <c r="Q68" s="86"/>
      <c r="R68" s="89"/>
      <c r="S68" s="89"/>
      <c r="T68" s="89"/>
      <c r="U68" s="89"/>
      <c r="V68" s="89"/>
      <c r="W68" s="89"/>
      <c r="X68" s="89"/>
      <c r="Y68" s="89"/>
      <c r="Z68" s="89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</row>
    <row r="69" spans="1:38" s="90" customFormat="1" hidden="1">
      <c r="A69" s="354">
        <v>45419</v>
      </c>
      <c r="B69" s="72" t="s">
        <v>924</v>
      </c>
      <c r="C69" s="93">
        <v>-65000</v>
      </c>
      <c r="D69" s="142" t="s">
        <v>25</v>
      </c>
      <c r="E69" s="142"/>
      <c r="F69" s="142"/>
      <c r="G69" s="86">
        <f>C69</f>
        <v>-65000</v>
      </c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9"/>
      <c r="S69" s="89"/>
      <c r="T69" s="89"/>
      <c r="U69" s="89"/>
      <c r="V69" s="89"/>
      <c r="W69" s="89"/>
      <c r="X69" s="89"/>
      <c r="Y69" s="89"/>
      <c r="Z69" s="89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</row>
    <row r="70" spans="1:38" s="90" customFormat="1" hidden="1">
      <c r="A70" s="354">
        <v>45419</v>
      </c>
      <c r="B70" s="72" t="s">
        <v>586</v>
      </c>
      <c r="C70" s="93">
        <v>-622000</v>
      </c>
      <c r="D70" s="142" t="s">
        <v>454</v>
      </c>
      <c r="E70" s="142"/>
      <c r="F70" s="142"/>
      <c r="G70" s="86"/>
      <c r="H70" s="86">
        <f>C70</f>
        <v>-622000</v>
      </c>
      <c r="I70" s="86"/>
      <c r="J70" s="86"/>
      <c r="K70" s="86"/>
      <c r="L70" s="86"/>
      <c r="M70" s="86"/>
      <c r="N70" s="86"/>
      <c r="O70" s="86"/>
      <c r="P70" s="86"/>
      <c r="Q70" s="86"/>
      <c r="R70" s="89"/>
      <c r="S70" s="89"/>
      <c r="T70" s="89"/>
      <c r="U70" s="89"/>
      <c r="V70" s="89"/>
      <c r="W70" s="89"/>
      <c r="X70" s="89"/>
      <c r="Y70" s="89"/>
      <c r="Z70" s="8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</row>
    <row r="71" spans="1:38" s="90" customFormat="1" hidden="1">
      <c r="A71" s="354">
        <v>45419</v>
      </c>
      <c r="B71" s="72" t="s">
        <v>590</v>
      </c>
      <c r="C71" s="93">
        <v>-161900</v>
      </c>
      <c r="D71" s="142" t="s">
        <v>27</v>
      </c>
      <c r="E71" s="142"/>
      <c r="F71" s="142"/>
      <c r="G71" s="86"/>
      <c r="H71" s="86"/>
      <c r="I71" s="86">
        <f>C71</f>
        <v>-161900</v>
      </c>
      <c r="J71" s="86"/>
      <c r="K71" s="86"/>
      <c r="L71" s="86"/>
      <c r="M71" s="86"/>
      <c r="N71" s="86"/>
      <c r="O71" s="86"/>
      <c r="P71" s="86"/>
      <c r="Q71" s="86"/>
      <c r="R71" s="89"/>
      <c r="S71" s="89"/>
      <c r="T71" s="89"/>
      <c r="U71" s="89"/>
      <c r="V71" s="89"/>
      <c r="W71" s="89"/>
      <c r="X71" s="89"/>
      <c r="Y71" s="89"/>
      <c r="Z71" s="8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</row>
    <row r="72" spans="1:38" s="90" customFormat="1" hidden="1">
      <c r="A72" s="354">
        <v>45419</v>
      </c>
      <c r="B72" s="72" t="s">
        <v>591</v>
      </c>
      <c r="C72" s="93">
        <v>-2088000</v>
      </c>
      <c r="D72" s="142" t="s">
        <v>454</v>
      </c>
      <c r="E72" s="142"/>
      <c r="F72" s="142"/>
      <c r="G72" s="86"/>
      <c r="H72" s="86">
        <f>C72</f>
        <v>-2088000</v>
      </c>
      <c r="I72" s="86"/>
      <c r="J72" s="86"/>
      <c r="K72" s="86"/>
      <c r="L72" s="86"/>
      <c r="M72" s="86"/>
      <c r="N72" s="86"/>
      <c r="O72" s="86"/>
      <c r="P72" s="86"/>
      <c r="Q72" s="86"/>
      <c r="R72" s="89"/>
      <c r="S72" s="89"/>
      <c r="T72" s="89"/>
      <c r="U72" s="89"/>
      <c r="V72" s="89"/>
      <c r="W72" s="89"/>
      <c r="X72" s="89"/>
      <c r="Y72" s="89"/>
      <c r="Z72" s="89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</row>
    <row r="73" spans="1:38" s="90" customFormat="1" hidden="1">
      <c r="A73" s="354">
        <v>45419</v>
      </c>
      <c r="B73" s="72" t="s">
        <v>928</v>
      </c>
      <c r="C73" s="93">
        <v>-75000</v>
      </c>
      <c r="D73" s="142" t="s">
        <v>25</v>
      </c>
      <c r="E73" s="142"/>
      <c r="F73" s="142"/>
      <c r="G73" s="86">
        <f>C73</f>
        <v>-75000</v>
      </c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9"/>
      <c r="S73" s="89"/>
      <c r="T73" s="89"/>
      <c r="U73" s="89"/>
      <c r="V73" s="89"/>
      <c r="W73" s="89"/>
      <c r="X73" s="89"/>
      <c r="Y73" s="89"/>
      <c r="Z73" s="89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</row>
    <row r="74" spans="1:38" s="90" customFormat="1" hidden="1">
      <c r="A74" s="354">
        <v>45419</v>
      </c>
      <c r="B74" s="72" t="s">
        <v>929</v>
      </c>
      <c r="C74" s="93">
        <v>-2250000</v>
      </c>
      <c r="D74" s="142" t="s">
        <v>493</v>
      </c>
      <c r="E74" s="142"/>
      <c r="F74" s="142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9"/>
      <c r="S74" s="89"/>
      <c r="T74" s="89"/>
      <c r="U74" s="89"/>
      <c r="V74" s="89"/>
      <c r="W74" s="89"/>
      <c r="X74" s="89"/>
      <c r="Y74" s="89"/>
      <c r="Z74" s="89"/>
      <c r="AA74" s="86"/>
      <c r="AB74" s="86"/>
      <c r="AC74" s="86"/>
      <c r="AD74" s="86">
        <f>C74</f>
        <v>-2250000</v>
      </c>
      <c r="AE74" s="86"/>
      <c r="AF74" s="86"/>
      <c r="AG74" s="86"/>
      <c r="AH74" s="86"/>
      <c r="AI74" s="86"/>
      <c r="AJ74" s="86"/>
      <c r="AK74" s="86"/>
      <c r="AL74" s="86"/>
    </row>
    <row r="75" spans="1:38" s="90" customFormat="1" hidden="1">
      <c r="A75" s="354">
        <v>45419</v>
      </c>
      <c r="B75" s="72" t="s">
        <v>931</v>
      </c>
      <c r="C75" s="93">
        <v>-450000</v>
      </c>
      <c r="D75" s="142" t="s">
        <v>453</v>
      </c>
      <c r="E75" s="142"/>
      <c r="F75" s="142"/>
      <c r="G75" s="86"/>
      <c r="H75" s="86"/>
      <c r="I75" s="86"/>
      <c r="J75" s="86"/>
      <c r="K75" s="86">
        <f>C75</f>
        <v>-450000</v>
      </c>
      <c r="L75" s="86"/>
      <c r="M75" s="86"/>
      <c r="N75" s="86"/>
      <c r="O75" s="86"/>
      <c r="P75" s="86"/>
      <c r="Q75" s="86"/>
      <c r="R75" s="89"/>
      <c r="S75" s="89"/>
      <c r="T75" s="89"/>
      <c r="U75" s="89"/>
      <c r="V75" s="89"/>
      <c r="W75" s="89"/>
      <c r="X75" s="89"/>
      <c r="Y75" s="89"/>
      <c r="Z75" s="89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</row>
    <row r="76" spans="1:38" s="90" customFormat="1" hidden="1">
      <c r="A76" s="354">
        <v>45419</v>
      </c>
      <c r="B76" s="72" t="s">
        <v>932</v>
      </c>
      <c r="C76" s="93">
        <v>-35000</v>
      </c>
      <c r="D76" s="142" t="s">
        <v>607</v>
      </c>
      <c r="E76" s="142"/>
      <c r="F76" s="142"/>
      <c r="G76" s="86"/>
      <c r="H76" s="86"/>
      <c r="I76" s="86"/>
      <c r="J76" s="86">
        <f>C76</f>
        <v>-35000</v>
      </c>
      <c r="K76" s="86"/>
      <c r="L76" s="86"/>
      <c r="M76" s="86"/>
      <c r="N76" s="86"/>
      <c r="O76" s="86"/>
      <c r="P76" s="86"/>
      <c r="Q76" s="86"/>
      <c r="R76" s="89"/>
      <c r="S76" s="89"/>
      <c r="T76" s="89"/>
      <c r="U76" s="89"/>
      <c r="V76" s="89"/>
      <c r="W76" s="89"/>
      <c r="X76" s="89"/>
      <c r="Y76" s="89"/>
      <c r="Z76" s="89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</row>
    <row r="77" spans="1:38" s="90" customFormat="1" hidden="1">
      <c r="A77" s="354">
        <v>45419</v>
      </c>
      <c r="B77" s="72" t="s">
        <v>933</v>
      </c>
      <c r="C77" s="93">
        <v>-65000</v>
      </c>
      <c r="D77" s="142" t="s">
        <v>25</v>
      </c>
      <c r="E77" s="142"/>
      <c r="F77" s="142"/>
      <c r="G77" s="86">
        <f>C77</f>
        <v>-65000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9"/>
      <c r="S77" s="89"/>
      <c r="T77" s="89"/>
      <c r="U77" s="89"/>
      <c r="V77" s="89"/>
      <c r="W77" s="89"/>
      <c r="X77" s="89"/>
      <c r="Y77" s="89"/>
      <c r="Z77" s="89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</row>
    <row r="78" spans="1:38" s="90" customFormat="1" hidden="1">
      <c r="A78" s="354">
        <v>45420</v>
      </c>
      <c r="B78" s="72" t="s">
        <v>577</v>
      </c>
      <c r="C78" s="93">
        <v>-11000</v>
      </c>
      <c r="D78" s="142" t="s">
        <v>453</v>
      </c>
      <c r="E78" s="142"/>
      <c r="F78" s="142"/>
      <c r="G78" s="86"/>
      <c r="H78" s="86"/>
      <c r="I78" s="86"/>
      <c r="J78" s="86"/>
      <c r="K78" s="86">
        <f>C78</f>
        <v>-11000</v>
      </c>
      <c r="L78" s="86"/>
      <c r="M78" s="86"/>
      <c r="N78" s="86"/>
      <c r="O78" s="86"/>
      <c r="P78" s="86"/>
      <c r="Q78" s="86"/>
      <c r="R78" s="89"/>
      <c r="S78" s="89"/>
      <c r="T78" s="89"/>
      <c r="U78" s="89"/>
      <c r="V78" s="89"/>
      <c r="W78" s="89"/>
      <c r="X78" s="89"/>
      <c r="Y78" s="89"/>
      <c r="Z78" s="89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</row>
    <row r="79" spans="1:38" s="90" customFormat="1" hidden="1">
      <c r="A79" s="354">
        <v>45420</v>
      </c>
      <c r="B79" s="72" t="s">
        <v>935</v>
      </c>
      <c r="C79" s="93">
        <v>-420000</v>
      </c>
      <c r="D79" s="142" t="s">
        <v>453</v>
      </c>
      <c r="E79" s="142"/>
      <c r="F79" s="142"/>
      <c r="G79" s="86"/>
      <c r="H79" s="86"/>
      <c r="I79" s="86"/>
      <c r="J79" s="86"/>
      <c r="K79" s="86">
        <f>C79</f>
        <v>-420000</v>
      </c>
      <c r="L79" s="86"/>
      <c r="M79" s="86"/>
      <c r="N79" s="86"/>
      <c r="O79" s="86"/>
      <c r="P79" s="86"/>
      <c r="Q79" s="86"/>
      <c r="R79" s="89"/>
      <c r="S79" s="89"/>
      <c r="T79" s="89"/>
      <c r="U79" s="89"/>
      <c r="V79" s="89"/>
      <c r="W79" s="89"/>
      <c r="X79" s="89"/>
      <c r="Y79" s="89"/>
      <c r="Z79" s="89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</row>
    <row r="80" spans="1:38" s="90" customFormat="1" hidden="1">
      <c r="A80" s="354">
        <v>45420</v>
      </c>
      <c r="B80" s="72" t="s">
        <v>936</v>
      </c>
      <c r="C80" s="93">
        <v>-200000</v>
      </c>
      <c r="D80" s="142" t="s">
        <v>453</v>
      </c>
      <c r="E80" s="142"/>
      <c r="F80" s="142"/>
      <c r="G80" s="86"/>
      <c r="H80" s="86"/>
      <c r="I80" s="86"/>
      <c r="J80" s="86"/>
      <c r="K80" s="86">
        <f>C80</f>
        <v>-200000</v>
      </c>
      <c r="L80" s="86"/>
      <c r="M80" s="86"/>
      <c r="N80" s="86"/>
      <c r="O80" s="86"/>
      <c r="P80" s="86"/>
      <c r="Q80" s="86"/>
      <c r="R80" s="89"/>
      <c r="S80" s="89"/>
      <c r="T80" s="89"/>
      <c r="U80" s="89"/>
      <c r="V80" s="89"/>
      <c r="W80" s="89"/>
      <c r="X80" s="89"/>
      <c r="Y80" s="89"/>
      <c r="Z80" s="89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</row>
    <row r="81" spans="1:38" s="90" customFormat="1" hidden="1">
      <c r="A81" s="354">
        <v>45420</v>
      </c>
      <c r="B81" s="72" t="s">
        <v>938</v>
      </c>
      <c r="C81" s="93">
        <v>-65000</v>
      </c>
      <c r="D81" s="142" t="s">
        <v>25</v>
      </c>
      <c r="E81" s="142"/>
      <c r="F81" s="142"/>
      <c r="G81" s="86">
        <f>C81</f>
        <v>-65000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9"/>
      <c r="S81" s="89"/>
      <c r="T81" s="89"/>
      <c r="U81" s="89"/>
      <c r="V81" s="89"/>
      <c r="W81" s="89"/>
      <c r="X81" s="89"/>
      <c r="Y81" s="89"/>
      <c r="Z81" s="89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</row>
    <row r="82" spans="1:38" s="90" customFormat="1" hidden="1">
      <c r="A82" s="354">
        <v>45420</v>
      </c>
      <c r="B82" s="72" t="s">
        <v>939</v>
      </c>
      <c r="C82" s="93">
        <v>-2120000</v>
      </c>
      <c r="D82" s="142" t="s">
        <v>25</v>
      </c>
      <c r="E82" s="142"/>
      <c r="F82" s="142"/>
      <c r="G82" s="86">
        <f>C82</f>
        <v>-2120000</v>
      </c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9"/>
      <c r="S82" s="89"/>
      <c r="T82" s="89"/>
      <c r="U82" s="89"/>
      <c r="V82" s="89"/>
      <c r="W82" s="89"/>
      <c r="X82" s="89"/>
      <c r="Y82" s="89"/>
      <c r="Z82" s="89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</row>
    <row r="83" spans="1:38" s="90" customFormat="1" hidden="1">
      <c r="A83" s="354">
        <v>45420</v>
      </c>
      <c r="B83" s="72" t="s">
        <v>591</v>
      </c>
      <c r="C83" s="93">
        <v>-2561500</v>
      </c>
      <c r="D83" s="142" t="s">
        <v>454</v>
      </c>
      <c r="E83" s="142"/>
      <c r="F83" s="142"/>
      <c r="G83" s="86"/>
      <c r="H83" s="86">
        <f>C83</f>
        <v>-2561500</v>
      </c>
      <c r="I83" s="86"/>
      <c r="J83" s="86"/>
      <c r="K83" s="86"/>
      <c r="L83" s="86"/>
      <c r="M83" s="86"/>
      <c r="N83" s="86"/>
      <c r="O83" s="86"/>
      <c r="P83" s="86"/>
      <c r="Q83" s="86"/>
      <c r="R83" s="89"/>
      <c r="S83" s="89"/>
      <c r="T83" s="89"/>
      <c r="U83" s="89"/>
      <c r="V83" s="89"/>
      <c r="W83" s="89"/>
      <c r="X83" s="89"/>
      <c r="Y83" s="89"/>
      <c r="Z83" s="89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</row>
    <row r="84" spans="1:38" s="90" customFormat="1" hidden="1">
      <c r="A84" s="354">
        <v>45420</v>
      </c>
      <c r="B84" s="72" t="s">
        <v>592</v>
      </c>
      <c r="C84" s="93">
        <v>-25000</v>
      </c>
      <c r="D84" s="142" t="s">
        <v>454</v>
      </c>
      <c r="E84" s="142"/>
      <c r="F84" s="142"/>
      <c r="G84" s="86"/>
      <c r="H84" s="86">
        <f>C84</f>
        <v>-25000</v>
      </c>
      <c r="I84" s="86"/>
      <c r="J84" s="86"/>
      <c r="K84" s="86"/>
      <c r="L84" s="86"/>
      <c r="M84" s="86"/>
      <c r="N84" s="86"/>
      <c r="O84" s="86"/>
      <c r="P84" s="86"/>
      <c r="Q84" s="86"/>
      <c r="R84" s="89"/>
      <c r="S84" s="89"/>
      <c r="T84" s="89"/>
      <c r="U84" s="89"/>
      <c r="V84" s="89"/>
      <c r="W84" s="89"/>
      <c r="X84" s="89"/>
      <c r="Y84" s="89"/>
      <c r="Z84" s="8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</row>
    <row r="85" spans="1:38" s="90" customFormat="1" hidden="1">
      <c r="A85" s="354">
        <v>45420</v>
      </c>
      <c r="B85" s="72" t="s">
        <v>940</v>
      </c>
      <c r="C85" s="93">
        <v>-16600</v>
      </c>
      <c r="D85" s="142" t="s">
        <v>453</v>
      </c>
      <c r="E85" s="142"/>
      <c r="F85" s="142"/>
      <c r="G85" s="86"/>
      <c r="H85" s="86"/>
      <c r="I85" s="86"/>
      <c r="J85" s="86"/>
      <c r="K85" s="86">
        <f>C85</f>
        <v>-16600</v>
      </c>
      <c r="L85" s="86"/>
      <c r="M85" s="86"/>
      <c r="N85" s="86"/>
      <c r="O85" s="86"/>
      <c r="P85" s="86"/>
      <c r="Q85" s="86"/>
      <c r="R85" s="89"/>
      <c r="S85" s="89"/>
      <c r="T85" s="89"/>
      <c r="U85" s="89"/>
      <c r="V85" s="89"/>
      <c r="W85" s="89"/>
      <c r="X85" s="89"/>
      <c r="Y85" s="89"/>
      <c r="Z85" s="89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</row>
    <row r="86" spans="1:38" s="90" customFormat="1" hidden="1">
      <c r="A86" s="354">
        <v>45420</v>
      </c>
      <c r="B86" s="72" t="s">
        <v>884</v>
      </c>
      <c r="C86" s="93">
        <v>-2100000</v>
      </c>
      <c r="D86" s="142" t="s">
        <v>454</v>
      </c>
      <c r="E86" s="142"/>
      <c r="F86" s="142"/>
      <c r="G86" s="86"/>
      <c r="H86" s="86">
        <f>C86</f>
        <v>-2100000</v>
      </c>
      <c r="I86" s="86"/>
      <c r="J86" s="86"/>
      <c r="K86" s="86"/>
      <c r="L86" s="86"/>
      <c r="M86" s="86"/>
      <c r="N86" s="86"/>
      <c r="O86" s="86"/>
      <c r="P86" s="86"/>
      <c r="Q86" s="86"/>
      <c r="R86" s="89"/>
      <c r="S86" s="89"/>
      <c r="T86" s="89"/>
      <c r="U86" s="89"/>
      <c r="V86" s="89"/>
      <c r="W86" s="89"/>
      <c r="X86" s="89"/>
      <c r="Y86" s="89"/>
      <c r="Z86" s="89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</row>
    <row r="87" spans="1:38" s="90" customFormat="1" hidden="1">
      <c r="A87" s="354">
        <v>45420</v>
      </c>
      <c r="B87" s="72" t="s">
        <v>589</v>
      </c>
      <c r="C87" s="93">
        <v>-602000</v>
      </c>
      <c r="D87" s="142" t="s">
        <v>607</v>
      </c>
      <c r="E87" s="142"/>
      <c r="F87" s="142"/>
      <c r="G87" s="86"/>
      <c r="H87" s="86"/>
      <c r="I87" s="86"/>
      <c r="J87" s="86">
        <f>C87</f>
        <v>-602000</v>
      </c>
      <c r="K87" s="86"/>
      <c r="L87" s="86"/>
      <c r="M87" s="86"/>
      <c r="N87" s="86"/>
      <c r="O87" s="86"/>
      <c r="P87" s="86"/>
      <c r="Q87" s="86"/>
      <c r="R87" s="89"/>
      <c r="S87" s="89"/>
      <c r="T87" s="89"/>
      <c r="U87" s="89"/>
      <c r="V87" s="89"/>
      <c r="W87" s="89"/>
      <c r="X87" s="89"/>
      <c r="Y87" s="89"/>
      <c r="Z87" s="89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</row>
    <row r="88" spans="1:38" s="90" customFormat="1" hidden="1">
      <c r="A88" s="354">
        <v>45420</v>
      </c>
      <c r="B88" s="72" t="s">
        <v>943</v>
      </c>
      <c r="C88" s="93">
        <v>-160000</v>
      </c>
      <c r="D88" s="142" t="s">
        <v>607</v>
      </c>
      <c r="E88" s="142"/>
      <c r="F88" s="142"/>
      <c r="G88" s="86"/>
      <c r="H88" s="86"/>
      <c r="I88" s="86"/>
      <c r="J88" s="86">
        <f>C88</f>
        <v>-160000</v>
      </c>
      <c r="K88" s="86"/>
      <c r="L88" s="86"/>
      <c r="M88" s="86"/>
      <c r="N88" s="86"/>
      <c r="O88" s="86"/>
      <c r="P88" s="86"/>
      <c r="Q88" s="86"/>
      <c r="R88" s="89"/>
      <c r="S88" s="89"/>
      <c r="T88" s="89"/>
      <c r="U88" s="89"/>
      <c r="V88" s="89"/>
      <c r="W88" s="89"/>
      <c r="X88" s="89"/>
      <c r="Y88" s="89"/>
      <c r="Z88" s="89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</row>
    <row r="89" spans="1:38" s="90" customFormat="1" hidden="1">
      <c r="A89" s="354">
        <v>45420</v>
      </c>
      <c r="B89" s="72" t="s">
        <v>944</v>
      </c>
      <c r="C89" s="93">
        <v>-100000</v>
      </c>
      <c r="D89" s="142" t="s">
        <v>453</v>
      </c>
      <c r="E89" s="142"/>
      <c r="F89" s="142"/>
      <c r="G89" s="86"/>
      <c r="H89" s="86"/>
      <c r="I89" s="86"/>
      <c r="J89" s="86"/>
      <c r="K89" s="86">
        <f>C89</f>
        <v>-100000</v>
      </c>
      <c r="L89" s="86"/>
      <c r="M89" s="86"/>
      <c r="N89" s="86"/>
      <c r="O89" s="86"/>
      <c r="P89" s="86"/>
      <c r="Q89" s="86"/>
      <c r="R89" s="89"/>
      <c r="S89" s="89"/>
      <c r="T89" s="89"/>
      <c r="U89" s="89"/>
      <c r="V89" s="89"/>
      <c r="W89" s="89"/>
      <c r="X89" s="89"/>
      <c r="Y89" s="89"/>
      <c r="Z89" s="89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</row>
    <row r="90" spans="1:38" s="90" customFormat="1" hidden="1">
      <c r="A90" s="354">
        <v>45420</v>
      </c>
      <c r="B90" s="72" t="s">
        <v>945</v>
      </c>
      <c r="C90" s="93">
        <v>-800000</v>
      </c>
      <c r="D90" s="142" t="s">
        <v>454</v>
      </c>
      <c r="E90" s="142"/>
      <c r="F90" s="142"/>
      <c r="G90" s="86"/>
      <c r="H90" s="86">
        <f>C90</f>
        <v>-800000</v>
      </c>
      <c r="I90" s="86"/>
      <c r="J90" s="86"/>
      <c r="K90" s="86"/>
      <c r="L90" s="86"/>
      <c r="M90" s="86"/>
      <c r="N90" s="86"/>
      <c r="O90" s="86"/>
      <c r="P90" s="86"/>
      <c r="Q90" s="86"/>
      <c r="R90" s="89"/>
      <c r="S90" s="89"/>
      <c r="T90" s="89"/>
      <c r="U90" s="89"/>
      <c r="V90" s="89"/>
      <c r="W90" s="89"/>
      <c r="X90" s="89"/>
      <c r="Y90" s="89"/>
      <c r="Z90" s="89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</row>
    <row r="91" spans="1:38" s="90" customFormat="1" hidden="1">
      <c r="A91" s="354">
        <v>45420</v>
      </c>
      <c r="B91" s="72" t="s">
        <v>948</v>
      </c>
      <c r="C91" s="93">
        <v>-77800</v>
      </c>
      <c r="D91" s="142" t="s">
        <v>32</v>
      </c>
      <c r="E91" s="142"/>
      <c r="F91" s="142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9"/>
      <c r="S91" s="89"/>
      <c r="T91" s="89"/>
      <c r="U91" s="89"/>
      <c r="V91" s="89"/>
      <c r="W91" s="89"/>
      <c r="X91" s="89"/>
      <c r="Y91" s="89"/>
      <c r="Z91" s="89"/>
      <c r="AA91" s="86"/>
      <c r="AB91" s="86">
        <f>C91</f>
        <v>-77800</v>
      </c>
      <c r="AC91" s="86"/>
      <c r="AD91" s="86"/>
      <c r="AE91" s="86"/>
      <c r="AF91" s="86"/>
      <c r="AG91" s="86"/>
      <c r="AH91" s="86"/>
      <c r="AI91" s="86"/>
      <c r="AJ91" s="86"/>
      <c r="AK91" s="86"/>
      <c r="AL91" s="86"/>
    </row>
    <row r="92" spans="1:38" s="90" customFormat="1" hidden="1">
      <c r="A92" s="354">
        <v>45420</v>
      </c>
      <c r="B92" s="72" t="s">
        <v>596</v>
      </c>
      <c r="C92" s="93">
        <v>-500000</v>
      </c>
      <c r="D92" s="142" t="s">
        <v>495</v>
      </c>
      <c r="E92" s="142"/>
      <c r="F92" s="142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9"/>
      <c r="S92" s="89"/>
      <c r="T92" s="89"/>
      <c r="U92" s="89"/>
      <c r="V92" s="89"/>
      <c r="W92" s="89"/>
      <c r="X92" s="89">
        <f>C92</f>
        <v>-500000</v>
      </c>
      <c r="Y92" s="89"/>
      <c r="Z92" s="89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</row>
    <row r="93" spans="1:38" s="90" customFormat="1" hidden="1">
      <c r="A93" s="354">
        <v>45420</v>
      </c>
      <c r="B93" s="72" t="s">
        <v>949</v>
      </c>
      <c r="C93" s="93">
        <v>-75000</v>
      </c>
      <c r="D93" s="142" t="s">
        <v>25</v>
      </c>
      <c r="E93" s="142"/>
      <c r="F93" s="142"/>
      <c r="G93" s="86">
        <f>C93</f>
        <v>-75000</v>
      </c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9"/>
      <c r="S93" s="89"/>
      <c r="T93" s="89"/>
      <c r="U93" s="89"/>
      <c r="V93" s="89"/>
      <c r="W93" s="89"/>
      <c r="X93" s="89"/>
      <c r="Y93" s="89"/>
      <c r="Z93" s="89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</row>
    <row r="94" spans="1:38" s="90" customFormat="1" hidden="1">
      <c r="A94" s="354">
        <v>45420</v>
      </c>
      <c r="B94" s="72" t="s">
        <v>950</v>
      </c>
      <c r="C94" s="93">
        <v>-75000</v>
      </c>
      <c r="D94" s="142" t="s">
        <v>25</v>
      </c>
      <c r="E94" s="142"/>
      <c r="F94" s="142"/>
      <c r="G94" s="86">
        <f>C94</f>
        <v>-75000</v>
      </c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9"/>
      <c r="S94" s="89"/>
      <c r="T94" s="89"/>
      <c r="U94" s="89"/>
      <c r="V94" s="89"/>
      <c r="W94" s="89"/>
      <c r="X94" s="89"/>
      <c r="Y94" s="89"/>
      <c r="Z94" s="89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</row>
    <row r="95" spans="1:38" s="90" customFormat="1" hidden="1">
      <c r="A95" s="354">
        <v>45420</v>
      </c>
      <c r="B95" s="72" t="s">
        <v>591</v>
      </c>
      <c r="C95" s="93">
        <v>-4618000</v>
      </c>
      <c r="D95" s="142" t="s">
        <v>454</v>
      </c>
      <c r="E95" s="142"/>
      <c r="F95" s="142"/>
      <c r="G95" s="86"/>
      <c r="H95" s="86">
        <f>C95</f>
        <v>-4618000</v>
      </c>
      <c r="I95" s="86"/>
      <c r="J95" s="86"/>
      <c r="K95" s="86"/>
      <c r="L95" s="86"/>
      <c r="M95" s="86"/>
      <c r="N95" s="86"/>
      <c r="O95" s="86"/>
      <c r="P95" s="86"/>
      <c r="Q95" s="86"/>
      <c r="R95" s="89"/>
      <c r="S95" s="89"/>
      <c r="T95" s="89"/>
      <c r="U95" s="89"/>
      <c r="V95" s="89"/>
      <c r="W95" s="89"/>
      <c r="X95" s="89"/>
      <c r="Y95" s="89"/>
      <c r="Z95" s="89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</row>
    <row r="96" spans="1:38" s="90" customFormat="1" hidden="1">
      <c r="A96" s="354">
        <v>45420</v>
      </c>
      <c r="B96" s="72" t="s">
        <v>951</v>
      </c>
      <c r="C96" s="93">
        <v>-402500</v>
      </c>
      <c r="D96" s="142" t="s">
        <v>454</v>
      </c>
      <c r="E96" s="142"/>
      <c r="F96" s="142"/>
      <c r="G96" s="86"/>
      <c r="H96" s="86">
        <f>C96</f>
        <v>-402500</v>
      </c>
      <c r="I96" s="86"/>
      <c r="J96" s="86"/>
      <c r="K96" s="86"/>
      <c r="L96" s="86"/>
      <c r="M96" s="86"/>
      <c r="N96" s="86"/>
      <c r="O96" s="86"/>
      <c r="P96" s="86"/>
      <c r="Q96" s="86"/>
      <c r="R96" s="89"/>
      <c r="S96" s="89"/>
      <c r="T96" s="89"/>
      <c r="U96" s="89"/>
      <c r="V96" s="89"/>
      <c r="W96" s="89"/>
      <c r="X96" s="89"/>
      <c r="Y96" s="89"/>
      <c r="Z96" s="89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</row>
    <row r="97" spans="1:38" s="90" customFormat="1" hidden="1">
      <c r="A97" s="354">
        <v>45420</v>
      </c>
      <c r="B97" s="72" t="s">
        <v>952</v>
      </c>
      <c r="C97" s="93">
        <v>-80000</v>
      </c>
      <c r="D97" s="142" t="s">
        <v>25</v>
      </c>
      <c r="E97" s="142"/>
      <c r="F97" s="142"/>
      <c r="G97" s="86">
        <f>C97</f>
        <v>-80000</v>
      </c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9"/>
      <c r="S97" s="89"/>
      <c r="T97" s="89"/>
      <c r="U97" s="89"/>
      <c r="V97" s="89"/>
      <c r="W97" s="89"/>
      <c r="X97" s="89"/>
      <c r="Y97" s="89"/>
      <c r="Z97" s="89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</row>
    <row r="98" spans="1:38" s="90" customFormat="1" hidden="1">
      <c r="A98" s="354">
        <v>45420</v>
      </c>
      <c r="B98" s="72" t="s">
        <v>953</v>
      </c>
      <c r="C98" s="93">
        <v>-10000</v>
      </c>
      <c r="D98" s="142" t="s">
        <v>454</v>
      </c>
      <c r="E98" s="142"/>
      <c r="F98" s="142"/>
      <c r="G98" s="86"/>
      <c r="H98" s="86">
        <f>C98</f>
        <v>-10000</v>
      </c>
      <c r="I98" s="86"/>
      <c r="J98" s="86"/>
      <c r="K98" s="86"/>
      <c r="L98" s="86"/>
      <c r="M98" s="86"/>
      <c r="N98" s="86"/>
      <c r="O98" s="86"/>
      <c r="P98" s="86"/>
      <c r="Q98" s="86"/>
      <c r="R98" s="89"/>
      <c r="S98" s="89"/>
      <c r="T98" s="89"/>
      <c r="U98" s="89"/>
      <c r="V98" s="89"/>
      <c r="W98" s="89"/>
      <c r="X98" s="89"/>
      <c r="Y98" s="89"/>
      <c r="Z98" s="89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</row>
    <row r="99" spans="1:38" s="90" customFormat="1" hidden="1">
      <c r="A99" s="354">
        <v>45420</v>
      </c>
      <c r="B99" s="72" t="s">
        <v>954</v>
      </c>
      <c r="C99" s="93">
        <v>-65000</v>
      </c>
      <c r="D99" s="142" t="s">
        <v>25</v>
      </c>
      <c r="E99" s="142"/>
      <c r="F99" s="142"/>
      <c r="G99" s="86">
        <f>C99</f>
        <v>-65000</v>
      </c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9"/>
      <c r="S99" s="89"/>
      <c r="T99" s="89"/>
      <c r="U99" s="89"/>
      <c r="V99" s="89"/>
      <c r="W99" s="89"/>
      <c r="X99" s="89"/>
      <c r="Y99" s="89"/>
      <c r="Z99" s="89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</row>
    <row r="100" spans="1:38" s="90" customFormat="1" hidden="1">
      <c r="A100" s="354">
        <v>45421</v>
      </c>
      <c r="B100" s="72" t="s">
        <v>955</v>
      </c>
      <c r="C100" s="93">
        <v>-140000</v>
      </c>
      <c r="D100" s="142" t="s">
        <v>453</v>
      </c>
      <c r="E100" s="142"/>
      <c r="F100" s="142"/>
      <c r="G100" s="86"/>
      <c r="H100" s="86"/>
      <c r="I100" s="86"/>
      <c r="J100" s="86"/>
      <c r="K100" s="86">
        <f>C100</f>
        <v>-140000</v>
      </c>
      <c r="L100" s="86"/>
      <c r="M100" s="86"/>
      <c r="N100" s="86"/>
      <c r="O100" s="86"/>
      <c r="P100" s="86"/>
      <c r="Q100" s="86"/>
      <c r="R100" s="89"/>
      <c r="S100" s="89"/>
      <c r="T100" s="89"/>
      <c r="U100" s="89"/>
      <c r="V100" s="89"/>
      <c r="W100" s="89"/>
      <c r="X100" s="89"/>
      <c r="Y100" s="89"/>
      <c r="Z100" s="89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</row>
    <row r="101" spans="1:38" s="90" customFormat="1" hidden="1">
      <c r="A101" s="354">
        <v>45421</v>
      </c>
      <c r="B101" s="72" t="s">
        <v>956</v>
      </c>
      <c r="C101" s="93">
        <v>-418000</v>
      </c>
      <c r="D101" s="142" t="s">
        <v>454</v>
      </c>
      <c r="E101" s="142"/>
      <c r="F101" s="142"/>
      <c r="G101" s="86"/>
      <c r="H101" s="86">
        <f>C101</f>
        <v>-418000</v>
      </c>
      <c r="I101" s="86"/>
      <c r="J101" s="86"/>
      <c r="K101" s="86"/>
      <c r="L101" s="86"/>
      <c r="M101" s="86"/>
      <c r="N101" s="86"/>
      <c r="O101" s="86"/>
      <c r="P101" s="86"/>
      <c r="Q101" s="86"/>
      <c r="R101" s="89"/>
      <c r="S101" s="89"/>
      <c r="T101" s="89"/>
      <c r="U101" s="89"/>
      <c r="V101" s="89"/>
      <c r="W101" s="89"/>
      <c r="X101" s="89"/>
      <c r="Y101" s="89"/>
      <c r="Z101" s="89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</row>
    <row r="102" spans="1:38" s="90" customFormat="1" hidden="1">
      <c r="A102" s="354">
        <v>45421</v>
      </c>
      <c r="B102" s="72" t="s">
        <v>957</v>
      </c>
      <c r="C102" s="93">
        <v>-80000</v>
      </c>
      <c r="D102" s="142" t="s">
        <v>25</v>
      </c>
      <c r="E102" s="142"/>
      <c r="F102" s="142"/>
      <c r="G102" s="86">
        <f>C102</f>
        <v>-80000</v>
      </c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9"/>
      <c r="S102" s="89"/>
      <c r="T102" s="89"/>
      <c r="U102" s="89"/>
      <c r="V102" s="89"/>
      <c r="W102" s="89"/>
      <c r="X102" s="89"/>
      <c r="Y102" s="89"/>
      <c r="Z102" s="89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</row>
    <row r="103" spans="1:38" s="90" customFormat="1" hidden="1">
      <c r="A103" s="354">
        <v>45421</v>
      </c>
      <c r="B103" s="72" t="s">
        <v>958</v>
      </c>
      <c r="C103" s="93">
        <v>-220000</v>
      </c>
      <c r="D103" s="142" t="s">
        <v>607</v>
      </c>
      <c r="E103" s="142"/>
      <c r="F103" s="142"/>
      <c r="G103" s="86"/>
      <c r="H103" s="86"/>
      <c r="I103" s="86"/>
      <c r="J103" s="86">
        <f>C103</f>
        <v>-220000</v>
      </c>
      <c r="K103" s="86"/>
      <c r="L103" s="86"/>
      <c r="M103" s="86"/>
      <c r="N103" s="86"/>
      <c r="O103" s="86"/>
      <c r="P103" s="86"/>
      <c r="Q103" s="86"/>
      <c r="R103" s="89"/>
      <c r="S103" s="89"/>
      <c r="T103" s="89"/>
      <c r="U103" s="89"/>
      <c r="V103" s="89"/>
      <c r="W103" s="89"/>
      <c r="X103" s="89"/>
      <c r="Y103" s="89"/>
      <c r="Z103" s="89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</row>
    <row r="104" spans="1:38" s="90" customFormat="1" hidden="1">
      <c r="A104" s="354">
        <v>45421</v>
      </c>
      <c r="B104" s="72" t="s">
        <v>577</v>
      </c>
      <c r="C104" s="93">
        <v>-11000</v>
      </c>
      <c r="D104" s="142" t="s">
        <v>453</v>
      </c>
      <c r="E104" s="142"/>
      <c r="F104" s="142"/>
      <c r="G104" s="86"/>
      <c r="H104" s="86"/>
      <c r="I104" s="86"/>
      <c r="J104" s="86"/>
      <c r="K104" s="86">
        <f>C104</f>
        <v>-11000</v>
      </c>
      <c r="L104" s="86"/>
      <c r="M104" s="86"/>
      <c r="N104" s="86"/>
      <c r="O104" s="86"/>
      <c r="P104" s="86"/>
      <c r="Q104" s="86"/>
      <c r="R104" s="89"/>
      <c r="S104" s="89"/>
      <c r="T104" s="89"/>
      <c r="U104" s="89"/>
      <c r="V104" s="89"/>
      <c r="W104" s="89"/>
      <c r="X104" s="89"/>
      <c r="Y104" s="89"/>
      <c r="Z104" s="89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</row>
    <row r="105" spans="1:38" s="90" customFormat="1" hidden="1">
      <c r="A105" s="354">
        <v>45421</v>
      </c>
      <c r="B105" s="72" t="s">
        <v>959</v>
      </c>
      <c r="C105" s="93">
        <v>-665000</v>
      </c>
      <c r="D105" s="142" t="s">
        <v>454</v>
      </c>
      <c r="E105" s="142"/>
      <c r="F105" s="142"/>
      <c r="G105" s="86"/>
      <c r="H105" s="86">
        <f>C105</f>
        <v>-665000</v>
      </c>
      <c r="I105" s="86"/>
      <c r="J105" s="86"/>
      <c r="K105" s="86"/>
      <c r="L105" s="86"/>
      <c r="M105" s="86"/>
      <c r="N105" s="86"/>
      <c r="O105" s="86"/>
      <c r="P105" s="86"/>
      <c r="Q105" s="86"/>
      <c r="R105" s="89"/>
      <c r="S105" s="89"/>
      <c r="T105" s="89"/>
      <c r="U105" s="89"/>
      <c r="V105" s="89"/>
      <c r="W105" s="89"/>
      <c r="X105" s="89"/>
      <c r="Y105" s="89"/>
      <c r="Z105" s="89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</row>
    <row r="106" spans="1:38" s="90" customFormat="1" hidden="1">
      <c r="A106" s="354">
        <v>45421</v>
      </c>
      <c r="B106" s="72" t="s">
        <v>960</v>
      </c>
      <c r="C106" s="93">
        <v>-700000</v>
      </c>
      <c r="D106" s="142" t="s">
        <v>27</v>
      </c>
      <c r="E106" s="142"/>
      <c r="F106" s="142"/>
      <c r="G106" s="86"/>
      <c r="H106" s="86"/>
      <c r="I106" s="86">
        <f>C106</f>
        <v>-700000</v>
      </c>
      <c r="J106" s="86"/>
      <c r="K106" s="86"/>
      <c r="L106" s="86"/>
      <c r="M106" s="86"/>
      <c r="N106" s="86"/>
      <c r="O106" s="86"/>
      <c r="P106" s="86"/>
      <c r="Q106" s="86"/>
      <c r="R106" s="89"/>
      <c r="S106" s="89"/>
      <c r="T106" s="89"/>
      <c r="U106" s="89"/>
      <c r="V106" s="89"/>
      <c r="W106" s="89"/>
      <c r="X106" s="89"/>
      <c r="Y106" s="89"/>
      <c r="Z106" s="89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</row>
    <row r="107" spans="1:38" s="90" customFormat="1" hidden="1">
      <c r="A107" s="354">
        <v>45421</v>
      </c>
      <c r="B107" s="72" t="s">
        <v>961</v>
      </c>
      <c r="C107" s="93">
        <v>-97500</v>
      </c>
      <c r="D107" s="142" t="s">
        <v>25</v>
      </c>
      <c r="E107" s="142"/>
      <c r="F107" s="142"/>
      <c r="G107" s="86">
        <f>C107</f>
        <v>-97500</v>
      </c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9"/>
      <c r="S107" s="89"/>
      <c r="T107" s="89"/>
      <c r="U107" s="89"/>
      <c r="V107" s="89"/>
      <c r="W107" s="89"/>
      <c r="X107" s="89"/>
      <c r="Y107" s="89"/>
      <c r="Z107" s="89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</row>
    <row r="108" spans="1:38" s="90" customFormat="1" hidden="1">
      <c r="A108" s="354">
        <v>45421</v>
      </c>
      <c r="B108" s="72" t="s">
        <v>962</v>
      </c>
      <c r="C108" s="93">
        <v>-75000</v>
      </c>
      <c r="D108" s="142" t="s">
        <v>25</v>
      </c>
      <c r="E108" s="142"/>
      <c r="F108" s="142"/>
      <c r="G108" s="86">
        <f>C108</f>
        <v>-75000</v>
      </c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9"/>
      <c r="S108" s="89"/>
      <c r="T108" s="89"/>
      <c r="U108" s="89"/>
      <c r="V108" s="89"/>
      <c r="W108" s="89"/>
      <c r="X108" s="89"/>
      <c r="Y108" s="89"/>
      <c r="Z108" s="89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</row>
    <row r="109" spans="1:38" s="90" customFormat="1" hidden="1">
      <c r="A109" s="354">
        <v>45421</v>
      </c>
      <c r="B109" s="72" t="s">
        <v>591</v>
      </c>
      <c r="C109" s="93">
        <v>-1974500</v>
      </c>
      <c r="D109" s="142" t="s">
        <v>454</v>
      </c>
      <c r="E109" s="142"/>
      <c r="F109" s="142"/>
      <c r="G109" s="86"/>
      <c r="H109" s="86">
        <f>C109</f>
        <v>-1974500</v>
      </c>
      <c r="I109" s="86"/>
      <c r="J109" s="86"/>
      <c r="K109" s="86"/>
      <c r="L109" s="86"/>
      <c r="M109" s="86"/>
      <c r="N109" s="86"/>
      <c r="O109" s="86"/>
      <c r="P109" s="86"/>
      <c r="Q109" s="86"/>
      <c r="R109" s="89"/>
      <c r="S109" s="89"/>
      <c r="T109" s="89"/>
      <c r="U109" s="89"/>
      <c r="V109" s="89"/>
      <c r="W109" s="89"/>
      <c r="X109" s="89"/>
      <c r="Y109" s="89"/>
      <c r="Z109" s="89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</row>
    <row r="110" spans="1:38" s="90" customFormat="1" hidden="1">
      <c r="A110" s="354">
        <v>45421</v>
      </c>
      <c r="B110" s="72" t="s">
        <v>581</v>
      </c>
      <c r="C110" s="93">
        <v>-10000</v>
      </c>
      <c r="D110" s="142" t="s">
        <v>134</v>
      </c>
      <c r="E110" s="142"/>
      <c r="F110" s="142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9"/>
      <c r="S110" s="89"/>
      <c r="T110" s="89"/>
      <c r="U110" s="89"/>
      <c r="V110" s="89"/>
      <c r="W110" s="89"/>
      <c r="X110" s="89"/>
      <c r="Y110" s="89"/>
      <c r="Z110" s="89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>
        <f>C110</f>
        <v>-10000</v>
      </c>
      <c r="AL110" s="86"/>
    </row>
    <row r="111" spans="1:38" s="90" customFormat="1" hidden="1">
      <c r="A111" s="354">
        <v>45421</v>
      </c>
      <c r="B111" s="72" t="s">
        <v>600</v>
      </c>
      <c r="C111" s="93">
        <v>-71800</v>
      </c>
      <c r="D111" s="142" t="s">
        <v>134</v>
      </c>
      <c r="E111" s="142"/>
      <c r="F111" s="142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9"/>
      <c r="S111" s="89"/>
      <c r="T111" s="89"/>
      <c r="U111" s="89"/>
      <c r="V111" s="89"/>
      <c r="W111" s="89"/>
      <c r="X111" s="89"/>
      <c r="Y111" s="89"/>
      <c r="Z111" s="89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>
        <f>C111</f>
        <v>-71800</v>
      </c>
      <c r="AL111" s="86"/>
    </row>
    <row r="112" spans="1:38" s="90" customFormat="1" hidden="1">
      <c r="A112" s="354">
        <v>45422</v>
      </c>
      <c r="B112" s="72" t="s">
        <v>577</v>
      </c>
      <c r="C112" s="93">
        <v>-11000</v>
      </c>
      <c r="D112" s="142" t="s">
        <v>453</v>
      </c>
      <c r="E112" s="142"/>
      <c r="F112" s="142"/>
      <c r="G112" s="86"/>
      <c r="H112" s="86"/>
      <c r="I112" s="86"/>
      <c r="J112" s="86"/>
      <c r="K112" s="86">
        <f>C112</f>
        <v>-11000</v>
      </c>
      <c r="L112" s="86"/>
      <c r="M112" s="86"/>
      <c r="N112" s="86"/>
      <c r="O112" s="86"/>
      <c r="P112" s="86"/>
      <c r="Q112" s="86"/>
      <c r="R112" s="89"/>
      <c r="S112" s="89"/>
      <c r="T112" s="89"/>
      <c r="U112" s="89"/>
      <c r="V112" s="89"/>
      <c r="W112" s="89"/>
      <c r="X112" s="89"/>
      <c r="Y112" s="89"/>
      <c r="Z112" s="89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</row>
    <row r="113" spans="1:38" s="90" customFormat="1" hidden="1">
      <c r="A113" s="354">
        <v>45422</v>
      </c>
      <c r="B113" s="72" t="s">
        <v>967</v>
      </c>
      <c r="C113" s="93">
        <v>-100000</v>
      </c>
      <c r="D113" s="142" t="s">
        <v>453</v>
      </c>
      <c r="E113" s="142"/>
      <c r="F113" s="142"/>
      <c r="G113" s="86"/>
      <c r="H113" s="86"/>
      <c r="I113" s="86"/>
      <c r="J113" s="86"/>
      <c r="K113" s="86">
        <f>C113</f>
        <v>-100000</v>
      </c>
      <c r="L113" s="86"/>
      <c r="M113" s="86"/>
      <c r="N113" s="86"/>
      <c r="O113" s="86"/>
      <c r="P113" s="86"/>
      <c r="Q113" s="86"/>
      <c r="R113" s="89"/>
      <c r="S113" s="89"/>
      <c r="T113" s="89"/>
      <c r="U113" s="89"/>
      <c r="V113" s="89"/>
      <c r="W113" s="89"/>
      <c r="X113" s="89"/>
      <c r="Y113" s="89"/>
      <c r="Z113" s="89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</row>
    <row r="114" spans="1:38" s="90" customFormat="1" hidden="1">
      <c r="A114" s="354">
        <v>45422</v>
      </c>
      <c r="B114" s="72" t="s">
        <v>591</v>
      </c>
      <c r="C114" s="93">
        <v>-652000</v>
      </c>
      <c r="D114" s="142" t="s">
        <v>454</v>
      </c>
      <c r="E114" s="142"/>
      <c r="F114" s="142"/>
      <c r="G114" s="86"/>
      <c r="H114" s="86">
        <f>C114</f>
        <v>-652000</v>
      </c>
      <c r="I114" s="86"/>
      <c r="J114" s="86"/>
      <c r="K114" s="86"/>
      <c r="L114" s="86"/>
      <c r="M114" s="86"/>
      <c r="N114" s="86"/>
      <c r="O114" s="86"/>
      <c r="P114" s="86"/>
      <c r="Q114" s="86"/>
      <c r="R114" s="89"/>
      <c r="S114" s="89"/>
      <c r="T114" s="89"/>
      <c r="U114" s="89"/>
      <c r="V114" s="89"/>
      <c r="W114" s="89"/>
      <c r="X114" s="89"/>
      <c r="Y114" s="89"/>
      <c r="Z114" s="89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</row>
    <row r="115" spans="1:38" s="90" customFormat="1" hidden="1">
      <c r="A115" s="354">
        <v>45422</v>
      </c>
      <c r="B115" s="72" t="s">
        <v>969</v>
      </c>
      <c r="C115" s="93">
        <v>-65000</v>
      </c>
      <c r="D115" s="142" t="s">
        <v>25</v>
      </c>
      <c r="E115" s="142"/>
      <c r="F115" s="142"/>
      <c r="G115" s="86">
        <f>C115</f>
        <v>-65000</v>
      </c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9"/>
      <c r="S115" s="89"/>
      <c r="T115" s="89"/>
      <c r="U115" s="89"/>
      <c r="V115" s="89"/>
      <c r="W115" s="89"/>
      <c r="X115" s="89"/>
      <c r="Y115" s="89"/>
      <c r="Z115" s="89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</row>
    <row r="116" spans="1:38" s="90" customFormat="1" hidden="1">
      <c r="A116" s="354">
        <v>45422</v>
      </c>
      <c r="B116" s="72" t="s">
        <v>582</v>
      </c>
      <c r="C116" s="93">
        <v>-384000</v>
      </c>
      <c r="D116" s="142" t="s">
        <v>27</v>
      </c>
      <c r="E116" s="142"/>
      <c r="F116" s="142"/>
      <c r="G116" s="86"/>
      <c r="H116" s="86"/>
      <c r="I116" s="86">
        <f>C116</f>
        <v>-384000</v>
      </c>
      <c r="J116" s="86"/>
      <c r="K116" s="86"/>
      <c r="L116" s="86"/>
      <c r="M116" s="86"/>
      <c r="N116" s="86"/>
      <c r="O116" s="86"/>
      <c r="P116" s="86"/>
      <c r="Q116" s="86"/>
      <c r="R116" s="89"/>
      <c r="S116" s="89"/>
      <c r="T116" s="89"/>
      <c r="U116" s="89"/>
      <c r="V116" s="89"/>
      <c r="W116" s="89"/>
      <c r="X116" s="89"/>
      <c r="Y116" s="89"/>
      <c r="Z116" s="89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</row>
    <row r="117" spans="1:38" s="90" customFormat="1" hidden="1">
      <c r="A117" s="354">
        <v>45422</v>
      </c>
      <c r="B117" s="72" t="s">
        <v>970</v>
      </c>
      <c r="C117" s="93">
        <v>-2578500</v>
      </c>
      <c r="D117" s="142" t="s">
        <v>454</v>
      </c>
      <c r="E117" s="142"/>
      <c r="F117" s="142"/>
      <c r="G117" s="86"/>
      <c r="H117" s="86">
        <f>C117</f>
        <v>-2578500</v>
      </c>
      <c r="I117" s="86"/>
      <c r="J117" s="86"/>
      <c r="K117" s="86"/>
      <c r="L117" s="86"/>
      <c r="M117" s="86"/>
      <c r="N117" s="86"/>
      <c r="O117" s="86"/>
      <c r="P117" s="86"/>
      <c r="Q117" s="86"/>
      <c r="R117" s="89"/>
      <c r="S117" s="89"/>
      <c r="T117" s="89"/>
      <c r="U117" s="89"/>
      <c r="V117" s="89"/>
      <c r="W117" s="89"/>
      <c r="X117" s="89"/>
      <c r="Y117" s="89"/>
      <c r="Z117" s="89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</row>
    <row r="118" spans="1:38" s="90" customFormat="1" hidden="1">
      <c r="A118" s="354">
        <v>45422</v>
      </c>
      <c r="B118" s="72" t="s">
        <v>971</v>
      </c>
      <c r="C118" s="93">
        <v>-428000</v>
      </c>
      <c r="D118" s="142" t="s">
        <v>454</v>
      </c>
      <c r="E118" s="142"/>
      <c r="F118" s="142"/>
      <c r="G118" s="86"/>
      <c r="H118" s="86">
        <f>C118</f>
        <v>-428000</v>
      </c>
      <c r="I118" s="86"/>
      <c r="J118" s="86"/>
      <c r="K118" s="86"/>
      <c r="L118" s="86"/>
      <c r="M118" s="86"/>
      <c r="N118" s="86"/>
      <c r="O118" s="86"/>
      <c r="P118" s="86"/>
      <c r="Q118" s="86"/>
      <c r="R118" s="89"/>
      <c r="S118" s="89"/>
      <c r="T118" s="89"/>
      <c r="U118" s="89"/>
      <c r="V118" s="89"/>
      <c r="W118" s="89"/>
      <c r="X118" s="89"/>
      <c r="Y118" s="89"/>
      <c r="Z118" s="89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</row>
    <row r="119" spans="1:38" s="90" customFormat="1" hidden="1">
      <c r="A119" s="354">
        <v>45422</v>
      </c>
      <c r="B119" s="72" t="s">
        <v>588</v>
      </c>
      <c r="C119" s="93">
        <v>-100000</v>
      </c>
      <c r="D119" s="142" t="s">
        <v>126</v>
      </c>
      <c r="E119" s="142"/>
      <c r="F119" s="142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9"/>
      <c r="S119" s="89"/>
      <c r="T119" s="89"/>
      <c r="U119" s="89"/>
      <c r="V119" s="89"/>
      <c r="W119" s="89"/>
      <c r="X119" s="89"/>
      <c r="Y119" s="89"/>
      <c r="Z119" s="89"/>
      <c r="AA119" s="86"/>
      <c r="AB119" s="86"/>
      <c r="AC119" s="86"/>
      <c r="AD119" s="86"/>
      <c r="AE119" s="86"/>
      <c r="AF119" s="86"/>
      <c r="AG119" s="86"/>
      <c r="AH119" s="86"/>
      <c r="AI119" s="86">
        <f>C119</f>
        <v>-100000</v>
      </c>
      <c r="AJ119" s="86"/>
      <c r="AK119" s="86"/>
      <c r="AL119" s="86"/>
    </row>
    <row r="120" spans="1:38" s="90" customFormat="1" hidden="1">
      <c r="A120" s="354">
        <v>45422</v>
      </c>
      <c r="B120" s="72" t="s">
        <v>973</v>
      </c>
      <c r="C120" s="93">
        <v>-200000</v>
      </c>
      <c r="D120" s="142" t="s">
        <v>607</v>
      </c>
      <c r="E120" s="142"/>
      <c r="F120" s="142"/>
      <c r="G120" s="86"/>
      <c r="H120" s="86"/>
      <c r="I120" s="86"/>
      <c r="J120" s="86">
        <f>C120</f>
        <v>-200000</v>
      </c>
      <c r="K120" s="86"/>
      <c r="L120" s="86"/>
      <c r="M120" s="86"/>
      <c r="N120" s="86"/>
      <c r="O120" s="86"/>
      <c r="P120" s="86"/>
      <c r="Q120" s="86"/>
      <c r="R120" s="89"/>
      <c r="S120" s="89"/>
      <c r="T120" s="89"/>
      <c r="U120" s="89"/>
      <c r="V120" s="89"/>
      <c r="W120" s="89"/>
      <c r="X120" s="89"/>
      <c r="Y120" s="89"/>
      <c r="Z120" s="89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</row>
    <row r="121" spans="1:38" s="90" customFormat="1" hidden="1">
      <c r="A121" s="354">
        <v>45422</v>
      </c>
      <c r="B121" s="72" t="s">
        <v>975</v>
      </c>
      <c r="C121" s="93">
        <v>-340000</v>
      </c>
      <c r="D121" s="142" t="s">
        <v>454</v>
      </c>
      <c r="E121" s="142"/>
      <c r="F121" s="142"/>
      <c r="G121" s="86"/>
      <c r="H121" s="86">
        <f>C121</f>
        <v>-340000</v>
      </c>
      <c r="I121" s="86"/>
      <c r="J121" s="86"/>
      <c r="K121" s="86"/>
      <c r="L121" s="86"/>
      <c r="M121" s="86"/>
      <c r="N121" s="86"/>
      <c r="O121" s="86"/>
      <c r="P121" s="86"/>
      <c r="Q121" s="86"/>
      <c r="R121" s="89"/>
      <c r="S121" s="89"/>
      <c r="T121" s="89"/>
      <c r="U121" s="89"/>
      <c r="V121" s="89"/>
      <c r="W121" s="89"/>
      <c r="X121" s="89"/>
      <c r="Y121" s="89"/>
      <c r="Z121" s="89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</row>
    <row r="122" spans="1:38" s="90" customFormat="1" hidden="1">
      <c r="A122" s="354">
        <v>45422</v>
      </c>
      <c r="B122" s="72" t="s">
        <v>977</v>
      </c>
      <c r="C122" s="93">
        <v>-80000</v>
      </c>
      <c r="D122" s="142" t="s">
        <v>25</v>
      </c>
      <c r="E122" s="142"/>
      <c r="F122" s="142"/>
      <c r="G122" s="86">
        <f>C122</f>
        <v>-80000</v>
      </c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9"/>
      <c r="S122" s="89"/>
      <c r="T122" s="89"/>
      <c r="U122" s="89"/>
      <c r="V122" s="89"/>
      <c r="W122" s="89"/>
      <c r="X122" s="89"/>
      <c r="Y122" s="89"/>
      <c r="Z122" s="89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</row>
    <row r="123" spans="1:38" s="90" customFormat="1" hidden="1">
      <c r="A123" s="354">
        <v>45422</v>
      </c>
      <c r="B123" s="72" t="s">
        <v>979</v>
      </c>
      <c r="C123" s="93">
        <v>-65000</v>
      </c>
      <c r="D123" s="142" t="s">
        <v>25</v>
      </c>
      <c r="E123" s="142"/>
      <c r="F123" s="142"/>
      <c r="G123" s="86">
        <f>C123</f>
        <v>-65000</v>
      </c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9"/>
      <c r="S123" s="89"/>
      <c r="T123" s="89"/>
      <c r="U123" s="89"/>
      <c r="V123" s="89"/>
      <c r="W123" s="89"/>
      <c r="X123" s="89"/>
      <c r="Y123" s="89"/>
      <c r="Z123" s="89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</row>
    <row r="124" spans="1:38" s="90" customFormat="1" hidden="1">
      <c r="A124" s="354">
        <v>45422</v>
      </c>
      <c r="B124" s="72" t="s">
        <v>600</v>
      </c>
      <c r="C124" s="93">
        <v>-47950</v>
      </c>
      <c r="D124" s="142" t="s">
        <v>134</v>
      </c>
      <c r="E124" s="142"/>
      <c r="F124" s="142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9"/>
      <c r="S124" s="89"/>
      <c r="T124" s="89"/>
      <c r="U124" s="89"/>
      <c r="V124" s="89"/>
      <c r="W124" s="89"/>
      <c r="X124" s="89"/>
      <c r="Y124" s="89"/>
      <c r="Z124" s="89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>
        <f>C124</f>
        <v>-47950</v>
      </c>
      <c r="AL124" s="86"/>
    </row>
    <row r="125" spans="1:38" s="90" customFormat="1" hidden="1">
      <c r="A125" s="354">
        <v>45422</v>
      </c>
      <c r="B125" s="72" t="s">
        <v>980</v>
      </c>
      <c r="C125" s="93">
        <v>-12000</v>
      </c>
      <c r="D125" s="142" t="s">
        <v>134</v>
      </c>
      <c r="E125" s="142"/>
      <c r="F125" s="142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9"/>
      <c r="S125" s="89"/>
      <c r="T125" s="89"/>
      <c r="U125" s="89"/>
      <c r="V125" s="89"/>
      <c r="W125" s="89"/>
      <c r="X125" s="89"/>
      <c r="Y125" s="89"/>
      <c r="Z125" s="89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>
        <f>C125</f>
        <v>-12000</v>
      </c>
      <c r="AL125" s="86"/>
    </row>
    <row r="126" spans="1:38" s="90" customFormat="1" hidden="1">
      <c r="A126" s="354">
        <v>45422</v>
      </c>
      <c r="B126" s="72" t="s">
        <v>983</v>
      </c>
      <c r="C126" s="93">
        <v>-80000</v>
      </c>
      <c r="D126" s="142" t="s">
        <v>25</v>
      </c>
      <c r="E126" s="142"/>
      <c r="F126" s="142"/>
      <c r="G126" s="86">
        <f>C126</f>
        <v>-80000</v>
      </c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9"/>
      <c r="S126" s="89"/>
      <c r="T126" s="89"/>
      <c r="U126" s="89"/>
      <c r="V126" s="89"/>
      <c r="W126" s="89"/>
      <c r="X126" s="89"/>
      <c r="Y126" s="89"/>
      <c r="Z126" s="89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</row>
    <row r="127" spans="1:38" s="90" customFormat="1" hidden="1">
      <c r="A127" s="354">
        <v>45423</v>
      </c>
      <c r="B127" s="72" t="s">
        <v>577</v>
      </c>
      <c r="C127" s="93">
        <v>-11000</v>
      </c>
      <c r="D127" s="142" t="s">
        <v>453</v>
      </c>
      <c r="E127" s="142"/>
      <c r="F127" s="142"/>
      <c r="G127" s="86"/>
      <c r="H127" s="86"/>
      <c r="I127" s="86"/>
      <c r="J127" s="86"/>
      <c r="K127" s="86">
        <f>C127</f>
        <v>-11000</v>
      </c>
      <c r="L127" s="86"/>
      <c r="M127" s="86"/>
      <c r="N127" s="86"/>
      <c r="O127" s="86"/>
      <c r="P127" s="86"/>
      <c r="Q127" s="86"/>
      <c r="R127" s="89"/>
      <c r="S127" s="89"/>
      <c r="T127" s="89"/>
      <c r="U127" s="89"/>
      <c r="V127" s="89"/>
      <c r="W127" s="89"/>
      <c r="X127" s="89"/>
      <c r="Y127" s="89"/>
      <c r="Z127" s="89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</row>
    <row r="128" spans="1:38" s="90" customFormat="1" hidden="1">
      <c r="A128" s="354">
        <v>45423</v>
      </c>
      <c r="B128" s="72" t="s">
        <v>985</v>
      </c>
      <c r="C128" s="93">
        <v>-774000</v>
      </c>
      <c r="D128" s="142" t="s">
        <v>454</v>
      </c>
      <c r="E128" s="142"/>
      <c r="F128" s="142"/>
      <c r="G128" s="86"/>
      <c r="H128" s="86">
        <f>C128</f>
        <v>-774000</v>
      </c>
      <c r="I128" s="86"/>
      <c r="J128" s="86"/>
      <c r="K128" s="86"/>
      <c r="L128" s="86"/>
      <c r="M128" s="86"/>
      <c r="N128" s="86"/>
      <c r="O128" s="86"/>
      <c r="P128" s="86"/>
      <c r="Q128" s="86"/>
      <c r="R128" s="89"/>
      <c r="S128" s="89"/>
      <c r="T128" s="89"/>
      <c r="U128" s="89"/>
      <c r="V128" s="89"/>
      <c r="W128" s="89"/>
      <c r="X128" s="89"/>
      <c r="Y128" s="89"/>
      <c r="Z128" s="89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</row>
    <row r="129" spans="1:38" s="90" customFormat="1" hidden="1">
      <c r="A129" s="354">
        <v>45423</v>
      </c>
      <c r="B129" s="72" t="s">
        <v>989</v>
      </c>
      <c r="C129" s="93">
        <v>-65000</v>
      </c>
      <c r="D129" s="142" t="s">
        <v>25</v>
      </c>
      <c r="E129" s="142"/>
      <c r="F129" s="142"/>
      <c r="G129" s="86">
        <f>C129</f>
        <v>-65000</v>
      </c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9"/>
      <c r="S129" s="89"/>
      <c r="T129" s="89"/>
      <c r="U129" s="89"/>
      <c r="V129" s="89"/>
      <c r="W129" s="89"/>
      <c r="X129" s="89"/>
      <c r="Y129" s="89"/>
      <c r="Z129" s="89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</row>
    <row r="130" spans="1:38" s="90" customFormat="1" hidden="1">
      <c r="A130" s="354">
        <v>45423</v>
      </c>
      <c r="B130" s="72" t="s">
        <v>586</v>
      </c>
      <c r="C130" s="93">
        <v>-418000</v>
      </c>
      <c r="D130" s="142" t="s">
        <v>454</v>
      </c>
      <c r="E130" s="142"/>
      <c r="F130" s="142"/>
      <c r="G130" s="86"/>
      <c r="H130" s="86">
        <f>C130</f>
        <v>-418000</v>
      </c>
      <c r="I130" s="86"/>
      <c r="J130" s="86"/>
      <c r="K130" s="86"/>
      <c r="L130" s="86"/>
      <c r="M130" s="86"/>
      <c r="N130" s="86"/>
      <c r="O130" s="86"/>
      <c r="P130" s="86"/>
      <c r="Q130" s="86"/>
      <c r="R130" s="89"/>
      <c r="S130" s="89"/>
      <c r="T130" s="89"/>
      <c r="U130" s="89"/>
      <c r="V130" s="89"/>
      <c r="W130" s="89"/>
      <c r="X130" s="89"/>
      <c r="Y130" s="89"/>
      <c r="Z130" s="89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</row>
    <row r="131" spans="1:38" s="90" customFormat="1" hidden="1">
      <c r="A131" s="354">
        <v>45423</v>
      </c>
      <c r="B131" s="72" t="s">
        <v>591</v>
      </c>
      <c r="C131" s="93">
        <v>-3630000</v>
      </c>
      <c r="D131" s="142" t="s">
        <v>454</v>
      </c>
      <c r="E131" s="142"/>
      <c r="F131" s="142"/>
      <c r="G131" s="86"/>
      <c r="H131" s="86">
        <f>C131</f>
        <v>-3630000</v>
      </c>
      <c r="I131" s="86"/>
      <c r="J131" s="86"/>
      <c r="K131" s="86"/>
      <c r="L131" s="86"/>
      <c r="M131" s="86"/>
      <c r="N131" s="86"/>
      <c r="O131" s="86"/>
      <c r="P131" s="86"/>
      <c r="Q131" s="86"/>
      <c r="R131" s="89"/>
      <c r="S131" s="89"/>
      <c r="T131" s="89"/>
      <c r="U131" s="89"/>
      <c r="V131" s="89"/>
      <c r="W131" s="89"/>
      <c r="X131" s="89"/>
      <c r="Y131" s="89"/>
      <c r="Z131" s="89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</row>
    <row r="132" spans="1:38" s="90" customFormat="1" hidden="1">
      <c r="A132" s="354">
        <v>45423</v>
      </c>
      <c r="B132" s="72" t="s">
        <v>990</v>
      </c>
      <c r="C132" s="93">
        <v>-3650000</v>
      </c>
      <c r="D132" s="142" t="s">
        <v>233</v>
      </c>
      <c r="E132" s="142"/>
      <c r="F132" s="142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9"/>
      <c r="S132" s="89"/>
      <c r="T132" s="89"/>
      <c r="U132" s="89"/>
      <c r="V132" s="89"/>
      <c r="W132" s="89"/>
      <c r="X132" s="89"/>
      <c r="Y132" s="89"/>
      <c r="Z132" s="89"/>
      <c r="AA132" s="86"/>
      <c r="AB132" s="86"/>
      <c r="AC132" s="86"/>
      <c r="AD132" s="86"/>
      <c r="AE132" s="86"/>
      <c r="AF132" s="86">
        <f>C132</f>
        <v>-3650000</v>
      </c>
      <c r="AG132" s="86"/>
      <c r="AH132" s="86"/>
      <c r="AI132" s="86"/>
      <c r="AJ132" s="86"/>
      <c r="AK132" s="86"/>
      <c r="AL132" s="86"/>
    </row>
    <row r="133" spans="1:38" s="90" customFormat="1" hidden="1">
      <c r="A133" s="354">
        <v>45423</v>
      </c>
      <c r="B133" s="72" t="s">
        <v>589</v>
      </c>
      <c r="C133" s="93">
        <v>-777500</v>
      </c>
      <c r="D133" s="142" t="s">
        <v>607</v>
      </c>
      <c r="E133" s="142"/>
      <c r="F133" s="142"/>
      <c r="G133" s="86"/>
      <c r="H133" s="86"/>
      <c r="I133" s="86"/>
      <c r="J133" s="86">
        <f>C133</f>
        <v>-777500</v>
      </c>
      <c r="K133" s="86"/>
      <c r="L133" s="86"/>
      <c r="M133" s="86"/>
      <c r="N133" s="86"/>
      <c r="O133" s="86"/>
      <c r="P133" s="86"/>
      <c r="Q133" s="86"/>
      <c r="R133" s="89"/>
      <c r="S133" s="89"/>
      <c r="T133" s="89"/>
      <c r="U133" s="89"/>
      <c r="V133" s="89"/>
      <c r="W133" s="89"/>
      <c r="X133" s="89"/>
      <c r="Y133" s="89"/>
      <c r="Z133" s="89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</row>
    <row r="134" spans="1:38" s="90" customFormat="1" hidden="1">
      <c r="A134" s="354">
        <v>45423</v>
      </c>
      <c r="B134" s="72" t="s">
        <v>587</v>
      </c>
      <c r="C134" s="93">
        <v>-319500</v>
      </c>
      <c r="D134" s="142" t="s">
        <v>607</v>
      </c>
      <c r="E134" s="142"/>
      <c r="F134" s="142"/>
      <c r="G134" s="86"/>
      <c r="H134" s="86"/>
      <c r="I134" s="86"/>
      <c r="J134" s="86">
        <f>C134</f>
        <v>-319500</v>
      </c>
      <c r="K134" s="86"/>
      <c r="L134" s="86"/>
      <c r="M134" s="86"/>
      <c r="N134" s="86"/>
      <c r="O134" s="86"/>
      <c r="P134" s="86"/>
      <c r="Q134" s="86"/>
      <c r="R134" s="89"/>
      <c r="S134" s="89"/>
      <c r="T134" s="89"/>
      <c r="U134" s="89"/>
      <c r="V134" s="89"/>
      <c r="W134" s="89"/>
      <c r="X134" s="89"/>
      <c r="Y134" s="89"/>
      <c r="Z134" s="89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</row>
    <row r="135" spans="1:38" s="90" customFormat="1" hidden="1">
      <c r="A135" s="354">
        <v>45423</v>
      </c>
      <c r="B135" s="72" t="s">
        <v>991</v>
      </c>
      <c r="C135" s="93">
        <v>-47500</v>
      </c>
      <c r="D135" s="142" t="s">
        <v>607</v>
      </c>
      <c r="E135" s="142"/>
      <c r="F135" s="142"/>
      <c r="G135" s="86"/>
      <c r="H135" s="86"/>
      <c r="I135" s="86"/>
      <c r="J135" s="86">
        <f>C135</f>
        <v>-47500</v>
      </c>
      <c r="K135" s="86"/>
      <c r="L135" s="86"/>
      <c r="M135" s="86"/>
      <c r="N135" s="86"/>
      <c r="O135" s="86"/>
      <c r="P135" s="86"/>
      <c r="Q135" s="86"/>
      <c r="R135" s="89"/>
      <c r="S135" s="89"/>
      <c r="T135" s="89"/>
      <c r="U135" s="89"/>
      <c r="V135" s="89"/>
      <c r="W135" s="89"/>
      <c r="X135" s="89"/>
      <c r="Y135" s="89"/>
      <c r="Z135" s="89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</row>
    <row r="136" spans="1:38" s="90" customFormat="1" hidden="1">
      <c r="A136" s="354">
        <v>45423</v>
      </c>
      <c r="B136" s="72" t="s">
        <v>992</v>
      </c>
      <c r="C136" s="93">
        <v>-10000</v>
      </c>
      <c r="D136" s="142" t="s">
        <v>134</v>
      </c>
      <c r="E136" s="142"/>
      <c r="F136" s="142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9"/>
      <c r="S136" s="89"/>
      <c r="T136" s="89"/>
      <c r="U136" s="89"/>
      <c r="V136" s="89"/>
      <c r="W136" s="89"/>
      <c r="X136" s="89"/>
      <c r="Y136" s="89"/>
      <c r="Z136" s="89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>
        <f>C136</f>
        <v>-10000</v>
      </c>
      <c r="AL136" s="86"/>
    </row>
    <row r="137" spans="1:38" s="90" customFormat="1" hidden="1">
      <c r="A137" s="354">
        <v>45423</v>
      </c>
      <c r="B137" s="72" t="s">
        <v>579</v>
      </c>
      <c r="C137" s="93">
        <v>-630000</v>
      </c>
      <c r="D137" s="142" t="s">
        <v>454</v>
      </c>
      <c r="E137" s="142"/>
      <c r="F137" s="142"/>
      <c r="G137" s="86"/>
      <c r="H137" s="86">
        <f>C137</f>
        <v>-630000</v>
      </c>
      <c r="I137" s="86"/>
      <c r="J137" s="86"/>
      <c r="K137" s="86"/>
      <c r="L137" s="86"/>
      <c r="M137" s="86"/>
      <c r="N137" s="86"/>
      <c r="O137" s="86"/>
      <c r="P137" s="86"/>
      <c r="Q137" s="86"/>
      <c r="R137" s="89"/>
      <c r="S137" s="89"/>
      <c r="T137" s="89"/>
      <c r="U137" s="89"/>
      <c r="V137" s="89"/>
      <c r="W137" s="89"/>
      <c r="X137" s="89"/>
      <c r="Y137" s="89"/>
      <c r="Z137" s="89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</row>
    <row r="138" spans="1:38" s="90" customFormat="1" hidden="1">
      <c r="A138" s="354">
        <v>45423</v>
      </c>
      <c r="B138" s="72" t="s">
        <v>993</v>
      </c>
      <c r="C138" s="93">
        <v>-75000</v>
      </c>
      <c r="D138" s="142" t="s">
        <v>25</v>
      </c>
      <c r="E138" s="142"/>
      <c r="F138" s="142"/>
      <c r="G138" s="86">
        <f>C138</f>
        <v>-75000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9"/>
      <c r="S138" s="89"/>
      <c r="T138" s="89"/>
      <c r="U138" s="89"/>
      <c r="V138" s="89"/>
      <c r="W138" s="89"/>
      <c r="X138" s="89"/>
      <c r="Y138" s="89"/>
      <c r="Z138" s="89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</row>
    <row r="139" spans="1:38" s="90" customFormat="1" hidden="1">
      <c r="A139" s="354">
        <v>45423</v>
      </c>
      <c r="B139" s="72" t="s">
        <v>591</v>
      </c>
      <c r="C139" s="93">
        <v>-418500</v>
      </c>
      <c r="D139" s="142" t="s">
        <v>454</v>
      </c>
      <c r="E139" s="142"/>
      <c r="F139" s="142"/>
      <c r="G139" s="86"/>
      <c r="H139" s="86">
        <f>C139</f>
        <v>-418500</v>
      </c>
      <c r="I139" s="86"/>
      <c r="J139" s="86"/>
      <c r="K139" s="86"/>
      <c r="L139" s="86"/>
      <c r="M139" s="86"/>
      <c r="N139" s="86"/>
      <c r="O139" s="86"/>
      <c r="P139" s="86"/>
      <c r="Q139" s="86"/>
      <c r="R139" s="89"/>
      <c r="S139" s="89"/>
      <c r="T139" s="89"/>
      <c r="U139" s="89"/>
      <c r="V139" s="89"/>
      <c r="W139" s="89"/>
      <c r="X139" s="89"/>
      <c r="Y139" s="89"/>
      <c r="Z139" s="89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</row>
    <row r="140" spans="1:38" s="90" customFormat="1" hidden="1">
      <c r="A140" s="354">
        <v>45423</v>
      </c>
      <c r="B140" s="72" t="s">
        <v>994</v>
      </c>
      <c r="C140" s="93">
        <v>-123000</v>
      </c>
      <c r="D140" s="142" t="s">
        <v>27</v>
      </c>
      <c r="E140" s="142"/>
      <c r="F140" s="142"/>
      <c r="G140" s="86"/>
      <c r="H140" s="86"/>
      <c r="I140" s="86">
        <f>C140</f>
        <v>-123000</v>
      </c>
      <c r="J140" s="86"/>
      <c r="K140" s="86"/>
      <c r="L140" s="86"/>
      <c r="M140" s="86"/>
      <c r="N140" s="86"/>
      <c r="O140" s="86"/>
      <c r="P140" s="86"/>
      <c r="Q140" s="86"/>
      <c r="R140" s="89"/>
      <c r="S140" s="89"/>
      <c r="T140" s="89"/>
      <c r="U140" s="89"/>
      <c r="V140" s="89"/>
      <c r="W140" s="89"/>
      <c r="X140" s="89"/>
      <c r="Y140" s="89"/>
      <c r="Z140" s="89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</row>
    <row r="141" spans="1:38" s="90" customFormat="1" hidden="1">
      <c r="A141" s="354">
        <v>45423</v>
      </c>
      <c r="B141" s="72" t="s">
        <v>996</v>
      </c>
      <c r="C141" s="93">
        <v>-65000</v>
      </c>
      <c r="D141" s="142" t="s">
        <v>25</v>
      </c>
      <c r="E141" s="142"/>
      <c r="F141" s="142"/>
      <c r="G141" s="86">
        <f>C141</f>
        <v>-65000</v>
      </c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9"/>
      <c r="S141" s="89"/>
      <c r="T141" s="89"/>
      <c r="U141" s="89"/>
      <c r="V141" s="89"/>
      <c r="W141" s="89"/>
      <c r="X141" s="89"/>
      <c r="Y141" s="89"/>
      <c r="Z141" s="89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</row>
    <row r="142" spans="1:38" s="90" customFormat="1" hidden="1">
      <c r="A142" s="354">
        <v>45423</v>
      </c>
      <c r="B142" s="72" t="s">
        <v>997</v>
      </c>
      <c r="C142" s="93">
        <v>-65000</v>
      </c>
      <c r="D142" s="142" t="s">
        <v>25</v>
      </c>
      <c r="E142" s="142"/>
      <c r="F142" s="142"/>
      <c r="G142" s="86">
        <f>C142</f>
        <v>-65000</v>
      </c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9"/>
      <c r="S142" s="89"/>
      <c r="T142" s="89"/>
      <c r="U142" s="89"/>
      <c r="V142" s="89"/>
      <c r="W142" s="89"/>
      <c r="X142" s="89"/>
      <c r="Y142" s="89"/>
      <c r="Z142" s="89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</row>
    <row r="143" spans="1:38" s="90" customFormat="1" hidden="1">
      <c r="A143" s="354">
        <v>45423</v>
      </c>
      <c r="B143" s="72" t="s">
        <v>998</v>
      </c>
      <c r="C143" s="93">
        <v>-160000</v>
      </c>
      <c r="D143" s="142" t="s">
        <v>607</v>
      </c>
      <c r="E143" s="142"/>
      <c r="F143" s="142"/>
      <c r="G143" s="86"/>
      <c r="H143" s="86"/>
      <c r="I143" s="86"/>
      <c r="J143" s="86">
        <f>C143</f>
        <v>-160000</v>
      </c>
      <c r="K143" s="86"/>
      <c r="L143" s="86"/>
      <c r="M143" s="86"/>
      <c r="N143" s="86"/>
      <c r="O143" s="86"/>
      <c r="P143" s="86"/>
      <c r="Q143" s="86"/>
      <c r="R143" s="89"/>
      <c r="S143" s="89"/>
      <c r="T143" s="89"/>
      <c r="U143" s="89"/>
      <c r="V143" s="89"/>
      <c r="W143" s="89"/>
      <c r="X143" s="89"/>
      <c r="Y143" s="89"/>
      <c r="Z143" s="89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</row>
    <row r="144" spans="1:38" s="90" customFormat="1" hidden="1">
      <c r="A144" s="354">
        <v>45424</v>
      </c>
      <c r="B144" s="72" t="s">
        <v>577</v>
      </c>
      <c r="C144" s="93">
        <v>-11000</v>
      </c>
      <c r="D144" s="142" t="s">
        <v>453</v>
      </c>
      <c r="E144" s="142"/>
      <c r="F144" s="142"/>
      <c r="G144" s="86"/>
      <c r="H144" s="86"/>
      <c r="I144" s="86"/>
      <c r="J144" s="86"/>
      <c r="K144" s="86">
        <f>C144</f>
        <v>-11000</v>
      </c>
      <c r="L144" s="86"/>
      <c r="M144" s="86"/>
      <c r="N144" s="86"/>
      <c r="O144" s="86"/>
      <c r="P144" s="86"/>
      <c r="Q144" s="86"/>
      <c r="R144" s="89"/>
      <c r="S144" s="89"/>
      <c r="T144" s="89"/>
      <c r="U144" s="89"/>
      <c r="V144" s="89"/>
      <c r="W144" s="89"/>
      <c r="X144" s="89"/>
      <c r="Y144" s="89"/>
      <c r="Z144" s="89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</row>
    <row r="145" spans="1:38" s="90" customFormat="1" hidden="1">
      <c r="A145" s="354">
        <v>45424</v>
      </c>
      <c r="B145" s="72" t="s">
        <v>1000</v>
      </c>
      <c r="C145" s="93">
        <v>-65000</v>
      </c>
      <c r="D145" s="142" t="s">
        <v>25</v>
      </c>
      <c r="E145" s="142"/>
      <c r="F145" s="142"/>
      <c r="G145" s="86">
        <f>C145</f>
        <v>-65000</v>
      </c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9"/>
      <c r="S145" s="89"/>
      <c r="T145" s="89"/>
      <c r="U145" s="89"/>
      <c r="V145" s="89"/>
      <c r="W145" s="89"/>
      <c r="X145" s="89"/>
      <c r="Y145" s="89"/>
      <c r="Z145" s="89"/>
      <c r="AA145" s="86"/>
      <c r="AB145" s="86"/>
      <c r="AC145" s="86"/>
      <c r="AD145" s="86"/>
      <c r="AE145" s="86"/>
      <c r="AF145" s="86"/>
      <c r="AG145" s="86"/>
      <c r="AH145" s="86"/>
      <c r="AI145" s="86"/>
      <c r="AK145" s="86"/>
      <c r="AL145" s="86"/>
    </row>
    <row r="146" spans="1:38" s="90" customFormat="1" hidden="1">
      <c r="A146" s="354">
        <v>45424</v>
      </c>
      <c r="B146" s="72" t="s">
        <v>1001</v>
      </c>
      <c r="C146" s="93">
        <v>-180000</v>
      </c>
      <c r="D146" s="142" t="s">
        <v>453</v>
      </c>
      <c r="E146" s="142"/>
      <c r="F146" s="142"/>
      <c r="G146" s="86"/>
      <c r="H146" s="86"/>
      <c r="I146" s="86"/>
      <c r="J146" s="86"/>
      <c r="K146" s="86">
        <f>C146</f>
        <v>-180000</v>
      </c>
      <c r="L146" s="86"/>
      <c r="M146" s="86"/>
      <c r="N146" s="86"/>
      <c r="O146" s="86"/>
      <c r="P146" s="86"/>
      <c r="Q146" s="86"/>
      <c r="R146" s="89"/>
      <c r="S146" s="89"/>
      <c r="T146" s="89"/>
      <c r="U146" s="89"/>
      <c r="V146" s="89"/>
      <c r="W146" s="89"/>
      <c r="X146" s="89"/>
      <c r="Y146" s="89"/>
      <c r="Z146" s="89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</row>
    <row r="147" spans="1:38" s="90" customFormat="1" hidden="1">
      <c r="A147" s="354">
        <v>45424</v>
      </c>
      <c r="B147" s="72" t="s">
        <v>584</v>
      </c>
      <c r="C147" s="93">
        <v>-774000</v>
      </c>
      <c r="D147" s="142" t="s">
        <v>454</v>
      </c>
      <c r="E147" s="142"/>
      <c r="F147" s="142"/>
      <c r="G147" s="86"/>
      <c r="H147" s="86">
        <f>C147</f>
        <v>-774000</v>
      </c>
      <c r="I147" s="86"/>
      <c r="J147" s="86"/>
      <c r="K147" s="86"/>
      <c r="L147" s="86"/>
      <c r="M147" s="86"/>
      <c r="N147" s="86"/>
      <c r="O147" s="86"/>
      <c r="P147" s="86"/>
      <c r="Q147" s="86"/>
      <c r="R147" s="89"/>
      <c r="S147" s="89"/>
      <c r="T147" s="89"/>
      <c r="U147" s="89"/>
      <c r="V147" s="89"/>
      <c r="W147" s="89"/>
      <c r="X147" s="89"/>
      <c r="Y147" s="89"/>
      <c r="Z147" s="89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</row>
    <row r="148" spans="1:38" s="90" customFormat="1" hidden="1">
      <c r="A148" s="354">
        <v>45424</v>
      </c>
      <c r="B148" s="72" t="s">
        <v>591</v>
      </c>
      <c r="C148" s="93">
        <v>-1004000</v>
      </c>
      <c r="D148" s="142" t="s">
        <v>454</v>
      </c>
      <c r="E148" s="142"/>
      <c r="F148" s="142"/>
      <c r="G148" s="86"/>
      <c r="H148" s="86">
        <f>C148</f>
        <v>-1004000</v>
      </c>
      <c r="I148" s="86"/>
      <c r="J148" s="86"/>
      <c r="K148" s="86"/>
      <c r="L148" s="86"/>
      <c r="M148" s="86"/>
      <c r="N148" s="86"/>
      <c r="O148" s="86"/>
      <c r="P148" s="86"/>
      <c r="Q148" s="86"/>
      <c r="R148" s="89"/>
      <c r="S148" s="89"/>
      <c r="T148" s="89"/>
      <c r="U148" s="89"/>
      <c r="V148" s="89"/>
      <c r="W148" s="89"/>
      <c r="X148" s="89"/>
      <c r="Y148" s="89"/>
      <c r="Z148" s="89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</row>
    <row r="149" spans="1:38" s="90" customFormat="1" hidden="1">
      <c r="A149" s="354">
        <v>45424</v>
      </c>
      <c r="B149" s="72" t="s">
        <v>1002</v>
      </c>
      <c r="C149" s="93">
        <v>-65000</v>
      </c>
      <c r="D149" s="142" t="s">
        <v>25</v>
      </c>
      <c r="E149" s="142"/>
      <c r="F149" s="142"/>
      <c r="G149" s="86">
        <f>C149</f>
        <v>-65000</v>
      </c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9"/>
      <c r="S149" s="89"/>
      <c r="T149" s="89"/>
      <c r="U149" s="89"/>
      <c r="V149" s="89"/>
      <c r="W149" s="89"/>
      <c r="X149" s="89"/>
      <c r="Y149" s="89"/>
      <c r="Z149" s="89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</row>
    <row r="150" spans="1:38" s="90" customFormat="1" hidden="1">
      <c r="A150" s="354">
        <v>45425</v>
      </c>
      <c r="B150" s="72" t="s">
        <v>577</v>
      </c>
      <c r="C150" s="93">
        <v>-11000</v>
      </c>
      <c r="D150" s="142" t="s">
        <v>453</v>
      </c>
      <c r="E150" s="142"/>
      <c r="F150" s="142"/>
      <c r="G150" s="86"/>
      <c r="H150" s="86"/>
      <c r="I150" s="86"/>
      <c r="J150" s="86"/>
      <c r="K150" s="86">
        <f>C150</f>
        <v>-11000</v>
      </c>
      <c r="L150" s="86"/>
      <c r="M150" s="86"/>
      <c r="N150" s="86"/>
      <c r="O150" s="86"/>
      <c r="P150" s="86"/>
      <c r="Q150" s="86"/>
      <c r="R150" s="89"/>
      <c r="S150" s="89"/>
      <c r="T150" s="89"/>
      <c r="U150" s="89"/>
      <c r="V150" s="89"/>
      <c r="W150" s="89"/>
      <c r="X150" s="89"/>
      <c r="Y150" s="89"/>
      <c r="Z150" s="89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</row>
    <row r="151" spans="1:38" s="90" customFormat="1" hidden="1">
      <c r="A151" s="354">
        <v>45425</v>
      </c>
      <c r="B151" s="72" t="s">
        <v>591</v>
      </c>
      <c r="C151" s="93">
        <v>-1188000</v>
      </c>
      <c r="D151" s="142" t="s">
        <v>454</v>
      </c>
      <c r="E151" s="142"/>
      <c r="F151" s="142"/>
      <c r="G151" s="86"/>
      <c r="H151" s="86">
        <f>C151</f>
        <v>-1188000</v>
      </c>
      <c r="I151" s="86"/>
      <c r="J151" s="86"/>
      <c r="K151" s="86"/>
      <c r="L151" s="86"/>
      <c r="M151" s="86"/>
      <c r="N151" s="86"/>
      <c r="O151" s="86"/>
      <c r="P151" s="86"/>
      <c r="Q151" s="86"/>
      <c r="R151" s="89"/>
      <c r="S151" s="89"/>
      <c r="T151" s="89"/>
      <c r="U151" s="89"/>
      <c r="V151" s="89"/>
      <c r="W151" s="89"/>
      <c r="X151" s="89"/>
      <c r="Y151" s="89"/>
      <c r="Z151" s="89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</row>
    <row r="152" spans="1:38" s="90" customFormat="1" hidden="1">
      <c r="A152" s="354">
        <v>45425</v>
      </c>
      <c r="B152" s="72" t="s">
        <v>1005</v>
      </c>
      <c r="C152" s="93">
        <v>-51000</v>
      </c>
      <c r="D152" s="142" t="s">
        <v>27</v>
      </c>
      <c r="E152" s="142"/>
      <c r="F152" s="142"/>
      <c r="G152" s="86"/>
      <c r="H152" s="86"/>
      <c r="I152" s="86">
        <f>C152</f>
        <v>-51000</v>
      </c>
      <c r="J152" s="86"/>
      <c r="K152" s="86"/>
      <c r="L152" s="86"/>
      <c r="M152" s="86"/>
      <c r="N152" s="86"/>
      <c r="O152" s="86"/>
      <c r="P152" s="86"/>
      <c r="Q152" s="86"/>
      <c r="R152" s="89"/>
      <c r="S152" s="89"/>
      <c r="T152" s="89"/>
      <c r="U152" s="89"/>
      <c r="V152" s="89"/>
      <c r="W152" s="89"/>
      <c r="X152" s="89"/>
      <c r="Y152" s="89"/>
      <c r="Z152" s="89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</row>
    <row r="153" spans="1:38" s="90" customFormat="1" hidden="1">
      <c r="A153" s="354">
        <v>45425</v>
      </c>
      <c r="B153" s="72" t="s">
        <v>1006</v>
      </c>
      <c r="C153" s="93">
        <v>-100000</v>
      </c>
      <c r="D153" s="142" t="s">
        <v>453</v>
      </c>
      <c r="E153" s="142"/>
      <c r="F153" s="142"/>
      <c r="G153" s="86"/>
      <c r="H153" s="86"/>
      <c r="I153" s="86"/>
      <c r="J153" s="86"/>
      <c r="K153" s="86">
        <f>C153</f>
        <v>-100000</v>
      </c>
      <c r="L153" s="86"/>
      <c r="M153" s="86"/>
      <c r="N153" s="86"/>
      <c r="O153" s="86"/>
      <c r="P153" s="86"/>
      <c r="Q153" s="86"/>
      <c r="R153" s="89"/>
      <c r="S153" s="89"/>
      <c r="T153" s="89"/>
      <c r="U153" s="89"/>
      <c r="V153" s="89"/>
      <c r="W153" s="89"/>
      <c r="X153" s="89"/>
      <c r="Y153" s="89"/>
      <c r="Z153" s="89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</row>
    <row r="154" spans="1:38" s="90" customFormat="1" hidden="1">
      <c r="A154" s="354">
        <v>45425</v>
      </c>
      <c r="B154" s="72" t="s">
        <v>224</v>
      </c>
      <c r="C154" s="93">
        <v>-432000</v>
      </c>
      <c r="D154" s="142" t="s">
        <v>1108</v>
      </c>
      <c r="E154" s="142"/>
      <c r="F154" s="142"/>
      <c r="G154" s="86"/>
      <c r="H154" s="86"/>
      <c r="I154" s="86"/>
      <c r="J154" s="86"/>
      <c r="K154" s="86"/>
      <c r="L154" s="86"/>
      <c r="M154" s="86"/>
      <c r="N154" s="86">
        <f>C154</f>
        <v>-432000</v>
      </c>
      <c r="O154" s="86"/>
      <c r="P154" s="86"/>
      <c r="Q154" s="86"/>
      <c r="R154" s="89"/>
      <c r="S154" s="89"/>
      <c r="T154" s="89"/>
      <c r="U154" s="89"/>
      <c r="V154" s="89"/>
      <c r="W154" s="89"/>
      <c r="X154" s="89"/>
      <c r="Y154" s="89"/>
      <c r="Z154" s="89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</row>
    <row r="155" spans="1:38" s="90" customFormat="1" hidden="1">
      <c r="A155" s="354">
        <v>45425</v>
      </c>
      <c r="B155" s="72" t="s">
        <v>591</v>
      </c>
      <c r="C155" s="93">
        <v>-2259000</v>
      </c>
      <c r="D155" s="142" t="s">
        <v>454</v>
      </c>
      <c r="E155" s="142"/>
      <c r="F155" s="142"/>
      <c r="G155" s="86"/>
      <c r="H155" s="86">
        <f>C155</f>
        <v>-2259000</v>
      </c>
      <c r="I155" s="86"/>
      <c r="J155" s="86"/>
      <c r="K155" s="86"/>
      <c r="L155" s="86"/>
      <c r="M155" s="86"/>
      <c r="N155" s="86"/>
      <c r="O155" s="86"/>
      <c r="P155" s="86"/>
      <c r="Q155" s="86"/>
      <c r="R155" s="89"/>
      <c r="S155" s="89"/>
      <c r="T155" s="89"/>
      <c r="U155" s="89"/>
      <c r="V155" s="89"/>
      <c r="W155" s="89"/>
      <c r="X155" s="89"/>
      <c r="Y155" s="89"/>
      <c r="Z155" s="89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</row>
    <row r="156" spans="1:38" s="90" customFormat="1" hidden="1">
      <c r="A156" s="354">
        <v>45425</v>
      </c>
      <c r="B156" s="72" t="s">
        <v>1008</v>
      </c>
      <c r="C156" s="93">
        <v>-65000</v>
      </c>
      <c r="D156" s="142" t="s">
        <v>25</v>
      </c>
      <c r="E156" s="142"/>
      <c r="F156" s="142"/>
      <c r="G156" s="86">
        <f>C156</f>
        <v>-65000</v>
      </c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9"/>
      <c r="S156" s="89"/>
      <c r="T156" s="89"/>
      <c r="U156" s="89"/>
      <c r="V156" s="89"/>
      <c r="W156" s="89"/>
      <c r="X156" s="89"/>
      <c r="Y156" s="89"/>
      <c r="Z156" s="89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</row>
    <row r="157" spans="1:38" s="90" customFormat="1" hidden="1">
      <c r="A157" s="354">
        <v>45425</v>
      </c>
      <c r="B157" s="72" t="s">
        <v>590</v>
      </c>
      <c r="C157" s="93">
        <v>-93500</v>
      </c>
      <c r="D157" s="142" t="s">
        <v>27</v>
      </c>
      <c r="E157" s="142"/>
      <c r="F157" s="142"/>
      <c r="G157" s="86"/>
      <c r="H157" s="86"/>
      <c r="I157" s="86">
        <f>C157</f>
        <v>-93500</v>
      </c>
      <c r="J157" s="86"/>
      <c r="K157" s="86"/>
      <c r="L157" s="86"/>
      <c r="M157" s="86"/>
      <c r="N157" s="86"/>
      <c r="O157" s="86"/>
      <c r="P157" s="86"/>
      <c r="Q157" s="86"/>
      <c r="R157" s="89"/>
      <c r="S157" s="89"/>
      <c r="T157" s="89"/>
      <c r="U157" s="89"/>
      <c r="V157" s="89"/>
      <c r="W157" s="89"/>
      <c r="X157" s="89"/>
      <c r="Y157" s="89"/>
      <c r="Z157" s="89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</row>
    <row r="158" spans="1:38" s="90" customFormat="1" hidden="1">
      <c r="A158" s="354">
        <v>45425</v>
      </c>
      <c r="B158" s="72" t="s">
        <v>1009</v>
      </c>
      <c r="C158" s="93">
        <v>-423000</v>
      </c>
      <c r="D158" s="142" t="s">
        <v>454</v>
      </c>
      <c r="E158" s="142"/>
      <c r="F158" s="142"/>
      <c r="G158" s="86"/>
      <c r="H158" s="86">
        <f>C158</f>
        <v>-423000</v>
      </c>
      <c r="I158" s="86"/>
      <c r="J158" s="86"/>
      <c r="K158" s="86"/>
      <c r="L158" s="86"/>
      <c r="M158" s="86"/>
      <c r="N158" s="86"/>
      <c r="O158" s="86"/>
      <c r="P158" s="86"/>
      <c r="Q158" s="86"/>
      <c r="R158" s="89"/>
      <c r="S158" s="89"/>
      <c r="T158" s="89"/>
      <c r="U158" s="89"/>
      <c r="V158" s="89"/>
      <c r="W158" s="89"/>
      <c r="X158" s="89"/>
      <c r="Y158" s="89"/>
      <c r="Z158" s="89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</row>
    <row r="159" spans="1:38" s="90" customFormat="1" hidden="1">
      <c r="A159" s="354">
        <v>45425</v>
      </c>
      <c r="B159" s="72" t="s">
        <v>1011</v>
      </c>
      <c r="C159" s="93">
        <v>-1400000</v>
      </c>
      <c r="D159" s="142" t="s">
        <v>233</v>
      </c>
      <c r="E159" s="142"/>
      <c r="F159" s="142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9"/>
      <c r="S159" s="89"/>
      <c r="T159" s="89"/>
      <c r="U159" s="89"/>
      <c r="V159" s="89"/>
      <c r="W159" s="89"/>
      <c r="X159" s="89"/>
      <c r="Y159" s="89"/>
      <c r="Z159" s="89"/>
      <c r="AA159" s="86"/>
      <c r="AB159" s="86"/>
      <c r="AC159" s="86"/>
      <c r="AD159" s="86"/>
      <c r="AE159" s="86"/>
      <c r="AF159" s="86">
        <f>C159</f>
        <v>-1400000</v>
      </c>
      <c r="AG159" s="86"/>
      <c r="AH159" s="86"/>
      <c r="AI159" s="86"/>
      <c r="AJ159" s="86"/>
      <c r="AK159" s="86"/>
      <c r="AL159" s="86"/>
    </row>
    <row r="160" spans="1:38" s="90" customFormat="1" hidden="1">
      <c r="A160" s="354">
        <v>45425</v>
      </c>
      <c r="B160" s="72" t="s">
        <v>991</v>
      </c>
      <c r="C160" s="93">
        <v>-1285000</v>
      </c>
      <c r="D160" s="142" t="s">
        <v>607</v>
      </c>
      <c r="E160" s="142"/>
      <c r="F160" s="142"/>
      <c r="G160" s="86"/>
      <c r="H160" s="86"/>
      <c r="I160" s="86"/>
      <c r="J160" s="86">
        <f>C160</f>
        <v>-1285000</v>
      </c>
      <c r="K160" s="86"/>
      <c r="L160" s="86"/>
      <c r="M160" s="86"/>
      <c r="N160" s="86"/>
      <c r="O160" s="86"/>
      <c r="P160" s="86"/>
      <c r="Q160" s="86"/>
      <c r="R160" s="89"/>
      <c r="S160" s="89"/>
      <c r="T160" s="89"/>
      <c r="U160" s="89"/>
      <c r="V160" s="89"/>
      <c r="W160" s="89"/>
      <c r="X160" s="89"/>
      <c r="Y160" s="89"/>
      <c r="Z160" s="89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</row>
    <row r="161" spans="1:38" s="90" customFormat="1" hidden="1">
      <c r="A161" s="354">
        <v>45425</v>
      </c>
      <c r="B161" s="72" t="s">
        <v>1012</v>
      </c>
      <c r="C161" s="93">
        <v>-350000</v>
      </c>
      <c r="D161" s="142" t="s">
        <v>607</v>
      </c>
      <c r="E161" s="142"/>
      <c r="F161" s="142"/>
      <c r="G161" s="86"/>
      <c r="H161" s="86"/>
      <c r="I161" s="86"/>
      <c r="J161" s="86">
        <f>C161</f>
        <v>-350000</v>
      </c>
      <c r="K161" s="86"/>
      <c r="L161" s="86"/>
      <c r="M161" s="86"/>
      <c r="N161" s="86"/>
      <c r="O161" s="86"/>
      <c r="P161" s="86"/>
      <c r="Q161" s="86"/>
      <c r="R161" s="89"/>
      <c r="S161" s="89"/>
      <c r="T161" s="89"/>
      <c r="U161" s="89"/>
      <c r="V161" s="89"/>
      <c r="W161" s="89"/>
      <c r="X161" s="89"/>
      <c r="Y161" s="89"/>
      <c r="Z161" s="89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</row>
    <row r="162" spans="1:38" s="90" customFormat="1" hidden="1">
      <c r="A162" s="354">
        <v>45425</v>
      </c>
      <c r="B162" s="72" t="s">
        <v>1014</v>
      </c>
      <c r="C162" s="93">
        <v>-75000</v>
      </c>
      <c r="D162" s="142" t="s">
        <v>25</v>
      </c>
      <c r="E162" s="142"/>
      <c r="F162" s="142"/>
      <c r="G162" s="86">
        <f>C162</f>
        <v>-75000</v>
      </c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9"/>
      <c r="S162" s="89"/>
      <c r="T162" s="89"/>
      <c r="U162" s="89"/>
      <c r="V162" s="89"/>
      <c r="W162" s="89"/>
      <c r="X162" s="89"/>
      <c r="Y162" s="89"/>
      <c r="Z162" s="89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</row>
    <row r="163" spans="1:38" s="90" customFormat="1" hidden="1">
      <c r="A163" s="354">
        <v>45425</v>
      </c>
      <c r="B163" s="72" t="s">
        <v>1015</v>
      </c>
      <c r="C163" s="61">
        <v>-1800000</v>
      </c>
      <c r="D163" s="142" t="s">
        <v>27</v>
      </c>
      <c r="E163" s="142"/>
      <c r="F163" s="142"/>
      <c r="G163" s="86"/>
      <c r="H163" s="86"/>
      <c r="I163" s="86">
        <f>C163</f>
        <v>-1800000</v>
      </c>
      <c r="J163" s="86"/>
      <c r="K163" s="86"/>
      <c r="L163" s="86"/>
      <c r="M163" s="86"/>
      <c r="N163" s="86"/>
      <c r="O163" s="86"/>
      <c r="P163" s="86"/>
      <c r="Q163" s="86"/>
      <c r="R163" s="89"/>
      <c r="S163" s="89"/>
      <c r="T163" s="89"/>
      <c r="U163" s="89"/>
      <c r="V163" s="89"/>
      <c r="W163" s="89"/>
      <c r="X163" s="89"/>
      <c r="Y163" s="89"/>
      <c r="Z163" s="89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</row>
    <row r="164" spans="1:38" s="90" customFormat="1" hidden="1">
      <c r="A164" s="354">
        <v>45425</v>
      </c>
      <c r="B164" s="388" t="s">
        <v>1016</v>
      </c>
      <c r="C164" s="93">
        <v>-65000</v>
      </c>
      <c r="D164" s="142" t="s">
        <v>25</v>
      </c>
      <c r="E164" s="142"/>
      <c r="F164" s="142"/>
      <c r="G164" s="86">
        <f>C164</f>
        <v>-65000</v>
      </c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9"/>
      <c r="S164" s="89"/>
      <c r="T164" s="89"/>
      <c r="U164" s="89"/>
      <c r="V164" s="89"/>
      <c r="W164" s="89"/>
      <c r="X164" s="89"/>
      <c r="Y164" s="89"/>
      <c r="Z164" s="89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</row>
    <row r="165" spans="1:38" s="90" customFormat="1" hidden="1">
      <c r="A165" s="354">
        <v>45426</v>
      </c>
      <c r="B165" s="72" t="s">
        <v>577</v>
      </c>
      <c r="C165" s="93">
        <v>-11000</v>
      </c>
      <c r="D165" s="142" t="s">
        <v>453</v>
      </c>
      <c r="E165" s="142"/>
      <c r="F165" s="142"/>
      <c r="G165" s="86"/>
      <c r="H165" s="86"/>
      <c r="I165" s="86"/>
      <c r="J165" s="86"/>
      <c r="K165" s="86">
        <f>C165</f>
        <v>-11000</v>
      </c>
      <c r="L165" s="86"/>
      <c r="M165" s="86"/>
      <c r="N165" s="86"/>
      <c r="O165" s="86"/>
      <c r="P165" s="86"/>
      <c r="Q165" s="86"/>
      <c r="R165" s="89"/>
      <c r="S165" s="89"/>
      <c r="T165" s="89"/>
      <c r="U165" s="89"/>
      <c r="V165" s="89"/>
      <c r="W165" s="89"/>
      <c r="X165" s="89"/>
      <c r="Y165" s="89"/>
      <c r="Z165" s="89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</row>
    <row r="166" spans="1:38" s="90" customFormat="1" hidden="1">
      <c r="A166" s="354">
        <v>45426</v>
      </c>
      <c r="B166" s="72" t="s">
        <v>1019</v>
      </c>
      <c r="C166" s="93">
        <v>-65000</v>
      </c>
      <c r="D166" s="142" t="s">
        <v>25</v>
      </c>
      <c r="E166" s="142"/>
      <c r="F166" s="142"/>
      <c r="G166" s="86">
        <f>C166</f>
        <v>-65000</v>
      </c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9"/>
      <c r="S166" s="89"/>
      <c r="T166" s="89"/>
      <c r="U166" s="89"/>
      <c r="V166" s="89"/>
      <c r="W166" s="89"/>
      <c r="X166" s="89"/>
      <c r="Y166" s="89"/>
      <c r="Z166" s="89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</row>
    <row r="167" spans="1:38" s="90" customFormat="1" hidden="1">
      <c r="A167" s="354">
        <v>45426</v>
      </c>
      <c r="B167" s="72" t="s">
        <v>584</v>
      </c>
      <c r="C167" s="93">
        <v>-577000</v>
      </c>
      <c r="D167" s="142" t="s">
        <v>454</v>
      </c>
      <c r="E167" s="142"/>
      <c r="F167" s="142"/>
      <c r="G167" s="86"/>
      <c r="H167" s="86">
        <f>C167</f>
        <v>-577000</v>
      </c>
      <c r="I167" s="86"/>
      <c r="J167" s="86"/>
      <c r="K167" s="86"/>
      <c r="L167" s="86"/>
      <c r="M167" s="86"/>
      <c r="N167" s="86"/>
      <c r="O167" s="86"/>
      <c r="P167" s="86"/>
      <c r="Q167" s="86"/>
      <c r="R167" s="89"/>
      <c r="S167" s="89"/>
      <c r="T167" s="89"/>
      <c r="U167" s="89"/>
      <c r="V167" s="89"/>
      <c r="W167" s="89"/>
      <c r="X167" s="89"/>
      <c r="Y167" s="89"/>
      <c r="Z167" s="89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</row>
    <row r="168" spans="1:38" s="90" customFormat="1" hidden="1">
      <c r="A168" s="354">
        <v>45426</v>
      </c>
      <c r="B168" s="72" t="s">
        <v>591</v>
      </c>
      <c r="C168" s="93">
        <v>-2800500</v>
      </c>
      <c r="D168" s="142" t="s">
        <v>454</v>
      </c>
      <c r="E168" s="142"/>
      <c r="F168" s="142"/>
      <c r="G168" s="86"/>
      <c r="H168" s="86">
        <f>C168</f>
        <v>-2800500</v>
      </c>
      <c r="I168" s="86"/>
      <c r="J168" s="86"/>
      <c r="K168" s="86"/>
      <c r="L168" s="86"/>
      <c r="M168" s="86"/>
      <c r="N168" s="86"/>
      <c r="O168" s="86"/>
      <c r="P168" s="86"/>
      <c r="Q168" s="86"/>
      <c r="R168" s="89"/>
      <c r="S168" s="89"/>
      <c r="T168" s="89"/>
      <c r="U168" s="89"/>
      <c r="V168" s="89"/>
      <c r="W168" s="89"/>
      <c r="X168" s="89"/>
      <c r="Y168" s="89"/>
      <c r="Z168" s="89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</row>
    <row r="169" spans="1:38" s="90" customFormat="1" hidden="1">
      <c r="A169" s="354">
        <v>45426</v>
      </c>
      <c r="B169" s="287" t="s">
        <v>1109</v>
      </c>
      <c r="C169" s="93">
        <v>-27000</v>
      </c>
      <c r="D169" s="142" t="s">
        <v>492</v>
      </c>
      <c r="E169" s="142"/>
      <c r="F169" s="142"/>
      <c r="G169" s="86"/>
      <c r="H169" s="86"/>
      <c r="I169" s="86"/>
      <c r="J169" s="86"/>
      <c r="K169" s="86"/>
      <c r="L169" s="86">
        <f>C169</f>
        <v>-27000</v>
      </c>
      <c r="M169" s="86"/>
      <c r="N169" s="86"/>
      <c r="O169" s="86"/>
      <c r="P169" s="86"/>
      <c r="Q169" s="86"/>
      <c r="R169" s="89"/>
      <c r="S169" s="89"/>
      <c r="T169" s="89"/>
      <c r="U169" s="89"/>
      <c r="V169" s="89"/>
      <c r="W169" s="89"/>
      <c r="X169" s="89"/>
      <c r="Y169" s="89"/>
      <c r="Z169" s="89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</row>
    <row r="170" spans="1:38" s="90" customFormat="1" hidden="1">
      <c r="A170" s="354">
        <v>45426</v>
      </c>
      <c r="B170" s="72" t="s">
        <v>579</v>
      </c>
      <c r="C170" s="93">
        <v>-425000</v>
      </c>
      <c r="D170" s="142" t="s">
        <v>454</v>
      </c>
      <c r="E170" s="142"/>
      <c r="F170" s="142"/>
      <c r="G170" s="86"/>
      <c r="H170" s="86">
        <f>C170</f>
        <v>-425000</v>
      </c>
      <c r="I170" s="86"/>
      <c r="J170" s="86"/>
      <c r="K170" s="86"/>
      <c r="L170" s="86"/>
      <c r="M170" s="86"/>
      <c r="N170" s="86"/>
      <c r="O170" s="86"/>
      <c r="P170" s="86"/>
      <c r="Q170" s="86"/>
      <c r="R170" s="89"/>
      <c r="S170" s="89"/>
      <c r="T170" s="89"/>
      <c r="U170" s="89"/>
      <c r="V170" s="89"/>
      <c r="W170" s="89"/>
      <c r="X170" s="89"/>
      <c r="Y170" s="89"/>
      <c r="Z170" s="89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</row>
    <row r="171" spans="1:38" s="90" customFormat="1" hidden="1">
      <c r="A171" s="354">
        <v>45426</v>
      </c>
      <c r="B171" s="72" t="s">
        <v>1021</v>
      </c>
      <c r="C171" s="93">
        <v>-428000</v>
      </c>
      <c r="D171" s="142" t="s">
        <v>454</v>
      </c>
      <c r="E171" s="142"/>
      <c r="F171" s="142"/>
      <c r="G171" s="86"/>
      <c r="H171" s="86">
        <f>C171</f>
        <v>-428000</v>
      </c>
      <c r="I171" s="86"/>
      <c r="J171" s="86"/>
      <c r="K171" s="86"/>
      <c r="L171" s="86"/>
      <c r="M171" s="86"/>
      <c r="N171" s="86"/>
      <c r="O171" s="86"/>
      <c r="P171" s="86"/>
      <c r="Q171" s="86"/>
      <c r="R171" s="89"/>
      <c r="S171" s="89"/>
      <c r="T171" s="89"/>
      <c r="U171" s="89"/>
      <c r="V171" s="89"/>
      <c r="W171" s="89"/>
      <c r="X171" s="89"/>
      <c r="Y171" s="89"/>
      <c r="Z171" s="89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</row>
    <row r="172" spans="1:38" s="90" customFormat="1" hidden="1">
      <c r="A172" s="354">
        <v>45426</v>
      </c>
      <c r="B172" s="72" t="s">
        <v>589</v>
      </c>
      <c r="C172" s="93">
        <v>-357000</v>
      </c>
      <c r="D172" s="142" t="s">
        <v>607</v>
      </c>
      <c r="E172" s="142"/>
      <c r="F172" s="142"/>
      <c r="G172" s="86"/>
      <c r="H172" s="86"/>
      <c r="I172" s="86"/>
      <c r="J172" s="86">
        <f>C172</f>
        <v>-357000</v>
      </c>
      <c r="K172" s="86"/>
      <c r="L172" s="86"/>
      <c r="M172" s="86"/>
      <c r="N172" s="86"/>
      <c r="O172" s="86"/>
      <c r="P172" s="86"/>
      <c r="Q172" s="86"/>
      <c r="R172" s="89"/>
      <c r="S172" s="89"/>
      <c r="T172" s="89"/>
      <c r="U172" s="89"/>
      <c r="V172" s="89"/>
      <c r="W172" s="89"/>
      <c r="X172" s="89"/>
      <c r="Y172" s="89"/>
      <c r="Z172" s="89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</row>
    <row r="173" spans="1:38" s="90" customFormat="1">
      <c r="A173" s="354">
        <v>45426</v>
      </c>
      <c r="B173" s="72" t="s">
        <v>1022</v>
      </c>
      <c r="C173" s="93">
        <v>-1500000</v>
      </c>
      <c r="D173" s="142" t="s">
        <v>153</v>
      </c>
      <c r="E173" s="142"/>
      <c r="F173" s="142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9"/>
      <c r="S173" s="89"/>
      <c r="T173" s="89"/>
      <c r="U173" s="89"/>
      <c r="V173" s="89"/>
      <c r="W173" s="89"/>
      <c r="X173" s="89"/>
      <c r="Y173" s="89"/>
      <c r="Z173" s="89"/>
      <c r="AA173" s="86"/>
      <c r="AB173" s="86"/>
      <c r="AC173" s="86"/>
      <c r="AD173" s="86"/>
      <c r="AE173" s="86">
        <f>C173</f>
        <v>-1500000</v>
      </c>
      <c r="AF173" s="86"/>
      <c r="AG173" s="86"/>
      <c r="AH173" s="86"/>
      <c r="AI173" s="86"/>
      <c r="AJ173" s="86"/>
      <c r="AK173" s="86"/>
      <c r="AL173" s="86"/>
    </row>
    <row r="174" spans="1:38" s="90" customFormat="1" hidden="1">
      <c r="A174" s="354">
        <v>45426</v>
      </c>
      <c r="B174" s="72" t="s">
        <v>589</v>
      </c>
      <c r="C174" s="93">
        <v>-75000</v>
      </c>
      <c r="D174" s="142" t="s">
        <v>607</v>
      </c>
      <c r="E174" s="142"/>
      <c r="F174" s="142"/>
      <c r="G174" s="86"/>
      <c r="H174" s="86"/>
      <c r="I174" s="86"/>
      <c r="J174" s="86">
        <f>C174</f>
        <v>-75000</v>
      </c>
      <c r="K174" s="86"/>
      <c r="L174" s="86"/>
      <c r="M174" s="86"/>
      <c r="N174" s="86"/>
      <c r="O174" s="86"/>
      <c r="P174" s="86"/>
      <c r="Q174" s="86"/>
      <c r="R174" s="89"/>
      <c r="S174" s="89"/>
      <c r="T174" s="89"/>
      <c r="U174" s="89"/>
      <c r="V174" s="89"/>
      <c r="W174" s="89"/>
      <c r="X174" s="89"/>
      <c r="Y174" s="89"/>
      <c r="Z174" s="89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</row>
    <row r="175" spans="1:38" s="90" customFormat="1" hidden="1">
      <c r="A175" s="354">
        <v>45426</v>
      </c>
      <c r="B175" s="72" t="s">
        <v>1023</v>
      </c>
      <c r="C175" s="93">
        <v>-1400000</v>
      </c>
      <c r="D175" s="142" t="s">
        <v>607</v>
      </c>
      <c r="E175" s="142"/>
      <c r="F175" s="142"/>
      <c r="G175" s="86"/>
      <c r="H175" s="86"/>
      <c r="I175" s="86"/>
      <c r="J175" s="86">
        <f>C175</f>
        <v>-1400000</v>
      </c>
      <c r="K175" s="86"/>
      <c r="L175" s="86"/>
      <c r="M175" s="86"/>
      <c r="N175" s="86"/>
      <c r="O175" s="86"/>
      <c r="P175" s="86"/>
      <c r="Q175" s="86"/>
      <c r="R175" s="89"/>
      <c r="S175" s="89"/>
      <c r="T175" s="89"/>
      <c r="U175" s="89"/>
      <c r="V175" s="89"/>
      <c r="W175" s="89"/>
      <c r="X175" s="89"/>
      <c r="Y175" s="89"/>
      <c r="Z175" s="89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</row>
    <row r="176" spans="1:38" s="90" customFormat="1" hidden="1">
      <c r="A176" s="354">
        <v>45426</v>
      </c>
      <c r="B176" s="72" t="s">
        <v>589</v>
      </c>
      <c r="C176" s="93">
        <v>-117200</v>
      </c>
      <c r="D176" s="142" t="s">
        <v>607</v>
      </c>
      <c r="E176" s="142"/>
      <c r="F176" s="142"/>
      <c r="G176" s="86"/>
      <c r="H176" s="86"/>
      <c r="I176" s="86"/>
      <c r="J176" s="86">
        <f>C176</f>
        <v>-117200</v>
      </c>
      <c r="K176" s="86"/>
      <c r="L176" s="86"/>
      <c r="M176" s="86"/>
      <c r="N176" s="86"/>
      <c r="O176" s="86"/>
      <c r="P176" s="86"/>
      <c r="Q176" s="86"/>
      <c r="R176" s="89"/>
      <c r="S176" s="89"/>
      <c r="T176" s="89"/>
      <c r="U176" s="89"/>
      <c r="V176" s="89"/>
      <c r="W176" s="89"/>
      <c r="X176" s="89"/>
      <c r="Y176" s="89"/>
      <c r="Z176" s="89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</row>
    <row r="177" spans="1:38" s="90" customFormat="1" hidden="1">
      <c r="A177" s="354">
        <v>45426</v>
      </c>
      <c r="B177" s="72" t="s">
        <v>1024</v>
      </c>
      <c r="C177" s="93">
        <v>-65000</v>
      </c>
      <c r="D177" s="142" t="s">
        <v>25</v>
      </c>
      <c r="E177" s="142"/>
      <c r="F177" s="142"/>
      <c r="G177" s="86">
        <f>C177</f>
        <v>-65000</v>
      </c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9"/>
      <c r="S177" s="89"/>
      <c r="T177" s="89"/>
      <c r="U177" s="89"/>
      <c r="V177" s="89"/>
      <c r="W177" s="89"/>
      <c r="X177" s="89"/>
      <c r="Y177" s="89"/>
      <c r="Z177" s="89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</row>
    <row r="178" spans="1:38" s="90" customFormat="1" hidden="1">
      <c r="A178" s="354">
        <v>45427</v>
      </c>
      <c r="B178" s="72" t="s">
        <v>577</v>
      </c>
      <c r="C178" s="93">
        <v>-11000</v>
      </c>
      <c r="D178" s="142" t="s">
        <v>453</v>
      </c>
      <c r="E178" s="142"/>
      <c r="F178" s="142"/>
      <c r="G178" s="86"/>
      <c r="H178" s="86"/>
      <c r="I178" s="86"/>
      <c r="J178" s="86"/>
      <c r="K178" s="86">
        <f>C178</f>
        <v>-11000</v>
      </c>
      <c r="L178" s="86"/>
      <c r="M178" s="86"/>
      <c r="N178" s="86"/>
      <c r="O178" s="86"/>
      <c r="P178" s="86"/>
      <c r="Q178" s="86"/>
      <c r="R178" s="89"/>
      <c r="S178" s="89"/>
      <c r="T178" s="89"/>
      <c r="U178" s="89"/>
      <c r="V178" s="89"/>
      <c r="W178" s="89"/>
      <c r="X178" s="89"/>
      <c r="Y178" s="89"/>
      <c r="Z178" s="89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</row>
    <row r="179" spans="1:38" s="90" customFormat="1" hidden="1">
      <c r="A179" s="354">
        <v>45427</v>
      </c>
      <c r="B179" s="72" t="s">
        <v>1030</v>
      </c>
      <c r="C179" s="93">
        <v>-65000</v>
      </c>
      <c r="D179" s="142" t="s">
        <v>25</v>
      </c>
      <c r="E179" s="142"/>
      <c r="F179" s="142"/>
      <c r="G179" s="86">
        <f>C179</f>
        <v>-65000</v>
      </c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9"/>
      <c r="S179" s="89"/>
      <c r="T179" s="89"/>
      <c r="U179" s="89"/>
      <c r="V179" s="89"/>
      <c r="W179" s="89"/>
      <c r="X179" s="89"/>
      <c r="Y179" s="89"/>
      <c r="Z179" s="89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</row>
    <row r="180" spans="1:38" s="90" customFormat="1" hidden="1">
      <c r="A180" s="354">
        <v>45427</v>
      </c>
      <c r="B180" s="72" t="s">
        <v>1031</v>
      </c>
      <c r="C180" s="93">
        <v>-1260000</v>
      </c>
      <c r="D180" s="142" t="s">
        <v>454</v>
      </c>
      <c r="E180" s="142"/>
      <c r="F180" s="142"/>
      <c r="G180" s="86"/>
      <c r="H180" s="86">
        <f>C180</f>
        <v>-1260000</v>
      </c>
      <c r="I180" s="86"/>
      <c r="J180" s="86"/>
      <c r="K180" s="86"/>
      <c r="L180" s="86"/>
      <c r="M180" s="86"/>
      <c r="N180" s="86"/>
      <c r="O180" s="86"/>
      <c r="P180" s="86"/>
      <c r="Q180" s="86"/>
      <c r="R180" s="89"/>
      <c r="S180" s="89"/>
      <c r="T180" s="89"/>
      <c r="U180" s="89"/>
      <c r="V180" s="89"/>
      <c r="W180" s="89"/>
      <c r="X180" s="89"/>
      <c r="Y180" s="89"/>
      <c r="Z180" s="89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</row>
    <row r="181" spans="1:38" s="90" customFormat="1" hidden="1">
      <c r="A181" s="354">
        <v>45427</v>
      </c>
      <c r="B181" s="72" t="s">
        <v>591</v>
      </c>
      <c r="C181" s="93">
        <v>-2817500</v>
      </c>
      <c r="D181" s="142" t="s">
        <v>454</v>
      </c>
      <c r="E181" s="142"/>
      <c r="F181" s="142"/>
      <c r="G181" s="86"/>
      <c r="H181" s="86">
        <f>C181</f>
        <v>-2817500</v>
      </c>
      <c r="I181" s="86"/>
      <c r="J181" s="86"/>
      <c r="K181" s="86"/>
      <c r="L181" s="86"/>
      <c r="M181" s="86"/>
      <c r="N181" s="86"/>
      <c r="O181" s="86"/>
      <c r="P181" s="86"/>
      <c r="Q181" s="86"/>
      <c r="R181" s="89"/>
      <c r="S181" s="89"/>
      <c r="T181" s="89"/>
      <c r="U181" s="89"/>
      <c r="V181" s="89"/>
      <c r="W181" s="89"/>
      <c r="X181" s="89"/>
      <c r="Y181" s="89"/>
      <c r="Z181" s="89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</row>
    <row r="182" spans="1:38" s="90" customFormat="1" hidden="1">
      <c r="A182" s="354">
        <v>45427</v>
      </c>
      <c r="B182" s="72" t="s">
        <v>580</v>
      </c>
      <c r="C182" s="93">
        <v>-30000</v>
      </c>
      <c r="D182" s="142" t="s">
        <v>454</v>
      </c>
      <c r="E182" s="142"/>
      <c r="F182" s="142"/>
      <c r="G182" s="86"/>
      <c r="H182" s="86">
        <f>C182</f>
        <v>-30000</v>
      </c>
      <c r="I182" s="86"/>
      <c r="J182" s="86"/>
      <c r="K182" s="86"/>
      <c r="L182" s="86"/>
      <c r="M182" s="86"/>
      <c r="N182" s="86"/>
      <c r="O182" s="86"/>
      <c r="P182" s="86"/>
      <c r="Q182" s="86"/>
      <c r="R182" s="89"/>
      <c r="S182" s="89"/>
      <c r="T182" s="89"/>
      <c r="U182" s="89"/>
      <c r="V182" s="89"/>
      <c r="W182" s="89"/>
      <c r="X182" s="89"/>
      <c r="Y182" s="89"/>
      <c r="Z182" s="89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</row>
    <row r="183" spans="1:38" s="90" customFormat="1" hidden="1">
      <c r="A183" s="354">
        <v>45427</v>
      </c>
      <c r="B183" s="72" t="s">
        <v>1032</v>
      </c>
      <c r="C183" s="93">
        <v>-1524500</v>
      </c>
      <c r="D183" s="142" t="s">
        <v>493</v>
      </c>
      <c r="E183" s="142"/>
      <c r="F183" s="142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9"/>
      <c r="S183" s="89"/>
      <c r="T183" s="89"/>
      <c r="U183" s="89"/>
      <c r="V183" s="89"/>
      <c r="W183" s="89"/>
      <c r="X183" s="89"/>
      <c r="Y183" s="89"/>
      <c r="Z183" s="89"/>
      <c r="AA183" s="86"/>
      <c r="AB183" s="86"/>
      <c r="AC183" s="86"/>
      <c r="AD183" s="86">
        <f>C183</f>
        <v>-1524500</v>
      </c>
      <c r="AE183" s="86"/>
      <c r="AF183" s="86"/>
      <c r="AG183" s="86"/>
      <c r="AH183" s="86"/>
      <c r="AI183" s="86"/>
      <c r="AJ183" s="86"/>
      <c r="AK183" s="86"/>
      <c r="AL183" s="86"/>
    </row>
    <row r="184" spans="1:38" s="90" customFormat="1" hidden="1">
      <c r="A184" s="354">
        <v>45427</v>
      </c>
      <c r="B184" s="72" t="s">
        <v>991</v>
      </c>
      <c r="C184" s="93">
        <v>-210000</v>
      </c>
      <c r="D184" s="142" t="s">
        <v>607</v>
      </c>
      <c r="E184" s="142"/>
      <c r="F184" s="142"/>
      <c r="G184" s="86"/>
      <c r="H184" s="86"/>
      <c r="I184" s="86"/>
      <c r="J184" s="86">
        <f>C184</f>
        <v>-210000</v>
      </c>
      <c r="K184" s="86"/>
      <c r="L184" s="86"/>
      <c r="M184" s="86"/>
      <c r="N184" s="86"/>
      <c r="O184" s="86"/>
      <c r="P184" s="86"/>
      <c r="Q184" s="86"/>
      <c r="R184" s="89"/>
      <c r="S184" s="89"/>
      <c r="T184" s="89"/>
      <c r="U184" s="89"/>
      <c r="V184" s="89"/>
      <c r="W184" s="89"/>
      <c r="X184" s="89"/>
      <c r="Y184" s="89"/>
      <c r="Z184" s="89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</row>
    <row r="185" spans="1:38" s="90" customFormat="1" hidden="1">
      <c r="A185" s="354">
        <v>45427</v>
      </c>
      <c r="B185" s="72" t="s">
        <v>1033</v>
      </c>
      <c r="C185" s="93">
        <v>-10000</v>
      </c>
      <c r="D185" s="142" t="s">
        <v>134</v>
      </c>
      <c r="E185" s="142"/>
      <c r="F185" s="142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9"/>
      <c r="S185" s="89"/>
      <c r="T185" s="89"/>
      <c r="U185" s="89"/>
      <c r="V185" s="89"/>
      <c r="W185" s="89"/>
      <c r="X185" s="89"/>
      <c r="Y185" s="89"/>
      <c r="Z185" s="89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>
        <f>C185</f>
        <v>-10000</v>
      </c>
      <c r="AL185" s="86"/>
    </row>
    <row r="186" spans="1:38" s="90" customFormat="1" hidden="1">
      <c r="A186" s="354">
        <v>45427</v>
      </c>
      <c r="B186" s="72" t="s">
        <v>1034</v>
      </c>
      <c r="C186" s="93">
        <v>-3005000</v>
      </c>
      <c r="D186" s="142" t="s">
        <v>233</v>
      </c>
      <c r="E186" s="142"/>
      <c r="F186" s="142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9"/>
      <c r="S186" s="89"/>
      <c r="T186" s="89"/>
      <c r="U186" s="89"/>
      <c r="V186" s="89"/>
      <c r="W186" s="89"/>
      <c r="X186" s="89"/>
      <c r="Y186" s="89"/>
      <c r="Z186" s="89"/>
      <c r="AA186" s="86"/>
      <c r="AB186" s="86"/>
      <c r="AC186" s="86"/>
      <c r="AD186" s="86"/>
      <c r="AE186" s="86"/>
      <c r="AF186" s="86">
        <f>C186</f>
        <v>-3005000</v>
      </c>
      <c r="AG186" s="86"/>
      <c r="AH186" s="86"/>
      <c r="AI186" s="86"/>
      <c r="AJ186" s="86"/>
      <c r="AK186" s="86"/>
      <c r="AL186" s="86"/>
    </row>
    <row r="187" spans="1:38" s="90" customFormat="1" hidden="1">
      <c r="A187" s="354">
        <v>45427</v>
      </c>
      <c r="B187" s="72" t="s">
        <v>598</v>
      </c>
      <c r="C187" s="93">
        <v>-100000</v>
      </c>
      <c r="D187" s="142" t="s">
        <v>126</v>
      </c>
      <c r="E187" s="142"/>
      <c r="F187" s="142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9"/>
      <c r="S187" s="89"/>
      <c r="T187" s="89"/>
      <c r="U187" s="89"/>
      <c r="V187" s="89"/>
      <c r="W187" s="89"/>
      <c r="X187" s="89"/>
      <c r="Y187" s="89"/>
      <c r="Z187" s="89"/>
      <c r="AA187" s="86"/>
      <c r="AB187" s="86"/>
      <c r="AC187" s="86"/>
      <c r="AD187" s="86"/>
      <c r="AE187" s="86"/>
      <c r="AF187" s="86"/>
      <c r="AG187" s="86"/>
      <c r="AH187" s="86"/>
      <c r="AI187" s="86">
        <f>C187</f>
        <v>-100000</v>
      </c>
      <c r="AJ187" s="86"/>
      <c r="AK187" s="86"/>
      <c r="AL187" s="86"/>
    </row>
    <row r="188" spans="1:38" s="90" customFormat="1" hidden="1">
      <c r="A188" s="354">
        <v>45427</v>
      </c>
      <c r="B188" s="72" t="s">
        <v>1035</v>
      </c>
      <c r="C188" s="93">
        <v>-75000</v>
      </c>
      <c r="D188" s="142" t="s">
        <v>25</v>
      </c>
      <c r="E188" s="142"/>
      <c r="F188" s="142"/>
      <c r="G188" s="86">
        <f>C188</f>
        <v>-75000</v>
      </c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9"/>
      <c r="S188" s="89"/>
      <c r="T188" s="89"/>
      <c r="U188" s="89"/>
      <c r="V188" s="89"/>
      <c r="W188" s="89"/>
      <c r="X188" s="89"/>
      <c r="Y188" s="89"/>
      <c r="Z188" s="89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</row>
    <row r="189" spans="1:38" s="90" customFormat="1" hidden="1">
      <c r="A189" s="354">
        <v>45427</v>
      </c>
      <c r="B189" s="72" t="s">
        <v>591</v>
      </c>
      <c r="C189" s="93">
        <v>-65500</v>
      </c>
      <c r="D189" s="142" t="s">
        <v>454</v>
      </c>
      <c r="E189" s="142"/>
      <c r="F189" s="142"/>
      <c r="G189" s="86"/>
      <c r="H189" s="86">
        <f>C189</f>
        <v>-65500</v>
      </c>
      <c r="I189" s="86"/>
      <c r="J189" s="86"/>
      <c r="K189" s="86"/>
      <c r="L189" s="86"/>
      <c r="M189" s="86"/>
      <c r="N189" s="86"/>
      <c r="O189" s="86"/>
      <c r="P189" s="86"/>
      <c r="Q189" s="86"/>
      <c r="R189" s="89"/>
      <c r="S189" s="89"/>
      <c r="T189" s="89"/>
      <c r="U189" s="89"/>
      <c r="V189" s="89"/>
      <c r="W189" s="89"/>
      <c r="X189" s="89"/>
      <c r="Y189" s="89"/>
      <c r="Z189" s="89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</row>
    <row r="190" spans="1:38" s="90" customFormat="1" hidden="1">
      <c r="A190" s="354">
        <v>45427</v>
      </c>
      <c r="B190" s="72" t="s">
        <v>591</v>
      </c>
      <c r="C190" s="93">
        <v>-2040000</v>
      </c>
      <c r="D190" s="142" t="s">
        <v>454</v>
      </c>
      <c r="E190" s="142"/>
      <c r="F190" s="142"/>
      <c r="G190" s="86"/>
      <c r="H190" s="86">
        <f>C190</f>
        <v>-2040000</v>
      </c>
      <c r="I190" s="86"/>
      <c r="J190" s="86"/>
      <c r="K190" s="86"/>
      <c r="L190" s="86"/>
      <c r="M190" s="86"/>
      <c r="N190" s="86"/>
      <c r="O190" s="86"/>
      <c r="P190" s="86"/>
      <c r="Q190" s="86"/>
      <c r="R190" s="89"/>
      <c r="S190" s="89"/>
      <c r="T190" s="89"/>
      <c r="U190" s="89"/>
      <c r="V190" s="89"/>
      <c r="W190" s="89"/>
      <c r="X190" s="89"/>
      <c r="Y190" s="89"/>
      <c r="Z190" s="89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</row>
    <row r="191" spans="1:38" s="90" customFormat="1" hidden="1">
      <c r="A191" s="354">
        <v>45427</v>
      </c>
      <c r="B191" s="72" t="s">
        <v>1036</v>
      </c>
      <c r="C191" s="93">
        <v>-1045000</v>
      </c>
      <c r="D191" s="142" t="s">
        <v>607</v>
      </c>
      <c r="E191" s="142"/>
      <c r="F191" s="142"/>
      <c r="G191" s="86"/>
      <c r="H191" s="86"/>
      <c r="I191" s="86"/>
      <c r="J191" s="86">
        <f>C191</f>
        <v>-1045000</v>
      </c>
      <c r="K191" s="86"/>
      <c r="L191" s="86"/>
      <c r="M191" s="86"/>
      <c r="N191" s="86"/>
      <c r="O191" s="86"/>
      <c r="P191" s="86"/>
      <c r="Q191" s="86"/>
      <c r="R191" s="89"/>
      <c r="S191" s="89"/>
      <c r="T191" s="89"/>
      <c r="U191" s="89"/>
      <c r="V191" s="89"/>
      <c r="W191" s="89"/>
      <c r="X191" s="89"/>
      <c r="Y191" s="89"/>
      <c r="Z191" s="89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</row>
    <row r="192" spans="1:38" s="90" customFormat="1" hidden="1">
      <c r="A192" s="354">
        <v>45427</v>
      </c>
      <c r="B192" s="72" t="s">
        <v>1037</v>
      </c>
      <c r="C192" s="93">
        <v>-37000</v>
      </c>
      <c r="D192" s="142" t="s">
        <v>454</v>
      </c>
      <c r="E192" s="142"/>
      <c r="F192" s="142"/>
      <c r="G192" s="86"/>
      <c r="H192" s="86">
        <f>C192</f>
        <v>-37000</v>
      </c>
      <c r="I192" s="86"/>
      <c r="J192" s="86"/>
      <c r="K192" s="86"/>
      <c r="L192" s="86"/>
      <c r="M192" s="86"/>
      <c r="N192" s="86"/>
      <c r="O192" s="86"/>
      <c r="P192" s="86"/>
      <c r="Q192" s="86"/>
      <c r="R192" s="89"/>
      <c r="S192" s="89"/>
      <c r="T192" s="89"/>
      <c r="U192" s="89"/>
      <c r="V192" s="89"/>
      <c r="W192" s="89"/>
      <c r="X192" s="89"/>
      <c r="Y192" s="89"/>
      <c r="Z192" s="89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</row>
    <row r="193" spans="1:38" s="90" customFormat="1" hidden="1">
      <c r="A193" s="354">
        <v>45427</v>
      </c>
      <c r="B193" s="72" t="s">
        <v>1039</v>
      </c>
      <c r="C193" s="93">
        <v>-80000</v>
      </c>
      <c r="D193" s="142" t="s">
        <v>25</v>
      </c>
      <c r="E193" s="142"/>
      <c r="F193" s="142"/>
      <c r="G193" s="86">
        <f>C193</f>
        <v>-80000</v>
      </c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9"/>
      <c r="S193" s="89"/>
      <c r="T193" s="89"/>
      <c r="U193" s="89"/>
      <c r="V193" s="89"/>
      <c r="W193" s="89"/>
      <c r="X193" s="89"/>
      <c r="Y193" s="89"/>
      <c r="Z193" s="89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</row>
    <row r="194" spans="1:38" s="90" customFormat="1" hidden="1">
      <c r="A194" s="354">
        <v>45427</v>
      </c>
      <c r="B194" s="72" t="s">
        <v>1040</v>
      </c>
      <c r="C194" s="93">
        <v>-65000</v>
      </c>
      <c r="D194" s="142" t="s">
        <v>25</v>
      </c>
      <c r="E194" s="142"/>
      <c r="F194" s="142"/>
      <c r="G194" s="86">
        <f>C194</f>
        <v>-65000</v>
      </c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9"/>
      <c r="S194" s="89"/>
      <c r="T194" s="89"/>
      <c r="U194" s="89"/>
      <c r="V194" s="89"/>
      <c r="W194" s="89"/>
      <c r="X194" s="89"/>
      <c r="Y194" s="89"/>
      <c r="Z194" s="89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</row>
    <row r="195" spans="1:38" s="90" customFormat="1" hidden="1">
      <c r="A195" s="354">
        <v>45427</v>
      </c>
      <c r="B195" s="72" t="s">
        <v>1041</v>
      </c>
      <c r="C195" s="93">
        <v>-120000</v>
      </c>
      <c r="D195" s="142" t="s">
        <v>607</v>
      </c>
      <c r="E195" s="142"/>
      <c r="F195" s="142"/>
      <c r="G195" s="86"/>
      <c r="H195" s="86"/>
      <c r="I195" s="86"/>
      <c r="J195" s="86">
        <f>C195</f>
        <v>-120000</v>
      </c>
      <c r="K195" s="86"/>
      <c r="L195" s="86"/>
      <c r="M195" s="86"/>
      <c r="N195" s="86"/>
      <c r="O195" s="86"/>
      <c r="P195" s="86"/>
      <c r="Q195" s="86"/>
      <c r="R195" s="89"/>
      <c r="S195" s="89"/>
      <c r="T195" s="89"/>
      <c r="U195" s="89"/>
      <c r="V195" s="89"/>
      <c r="W195" s="89"/>
      <c r="X195" s="89"/>
      <c r="Y195" s="89"/>
      <c r="Z195" s="89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</row>
    <row r="196" spans="1:38" s="90" customFormat="1" hidden="1">
      <c r="A196" s="354">
        <v>45427</v>
      </c>
      <c r="B196" s="72" t="s">
        <v>1042</v>
      </c>
      <c r="C196" s="93">
        <v>-700000</v>
      </c>
      <c r="D196" s="142" t="s">
        <v>454</v>
      </c>
      <c r="E196" s="142"/>
      <c r="F196" s="142"/>
      <c r="G196" s="86"/>
      <c r="H196" s="86">
        <f>C196</f>
        <v>-700000</v>
      </c>
      <c r="I196" s="86"/>
      <c r="J196" s="86"/>
      <c r="K196" s="86"/>
      <c r="L196" s="86"/>
      <c r="M196" s="86"/>
      <c r="N196" s="86"/>
      <c r="O196" s="86"/>
      <c r="P196" s="86"/>
      <c r="Q196" s="86"/>
      <c r="R196" s="89"/>
      <c r="S196" s="89"/>
      <c r="T196" s="89"/>
      <c r="U196" s="89"/>
      <c r="V196" s="89"/>
      <c r="W196" s="89"/>
      <c r="X196" s="89"/>
      <c r="Y196" s="89"/>
      <c r="Z196" s="89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</row>
    <row r="197" spans="1:38" s="90" customFormat="1" hidden="1">
      <c r="A197" s="354">
        <v>45428</v>
      </c>
      <c r="B197" s="72" t="s">
        <v>584</v>
      </c>
      <c r="C197" s="93">
        <v>-595000</v>
      </c>
      <c r="D197" s="142" t="s">
        <v>454</v>
      </c>
      <c r="E197" s="142"/>
      <c r="F197" s="142"/>
      <c r="G197" s="86"/>
      <c r="H197" s="86">
        <f>C197</f>
        <v>-595000</v>
      </c>
      <c r="I197" s="86"/>
      <c r="J197" s="86"/>
      <c r="K197" s="86"/>
      <c r="L197" s="86"/>
      <c r="M197" s="86"/>
      <c r="N197" s="86"/>
      <c r="O197" s="86"/>
      <c r="P197" s="86"/>
      <c r="Q197" s="86"/>
      <c r="R197" s="89"/>
      <c r="S197" s="89"/>
      <c r="T197" s="89"/>
      <c r="U197" s="89"/>
      <c r="V197" s="89"/>
      <c r="W197" s="89"/>
      <c r="X197" s="89"/>
      <c r="Y197" s="89"/>
      <c r="Z197" s="89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</row>
    <row r="198" spans="1:38" s="90" customFormat="1" hidden="1">
      <c r="A198" s="354">
        <v>45428</v>
      </c>
      <c r="B198" s="72" t="s">
        <v>1043</v>
      </c>
      <c r="C198" s="93">
        <v>-240000</v>
      </c>
      <c r="D198" s="142" t="s">
        <v>453</v>
      </c>
      <c r="E198" s="142"/>
      <c r="F198" s="142"/>
      <c r="G198" s="86"/>
      <c r="H198" s="86"/>
      <c r="I198" s="86"/>
      <c r="J198" s="86"/>
      <c r="K198" s="86">
        <f>C198</f>
        <v>-240000</v>
      </c>
      <c r="L198" s="86"/>
      <c r="M198" s="86"/>
      <c r="N198" s="86"/>
      <c r="O198" s="86"/>
      <c r="P198" s="86"/>
      <c r="Q198" s="86"/>
      <c r="R198" s="89"/>
      <c r="S198" s="89"/>
      <c r="T198" s="89"/>
      <c r="U198" s="89"/>
      <c r="V198" s="89"/>
      <c r="W198" s="89"/>
      <c r="X198" s="89"/>
      <c r="Y198" s="89"/>
      <c r="Z198" s="89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</row>
    <row r="199" spans="1:38" s="90" customFormat="1" hidden="1">
      <c r="A199" s="354">
        <v>45428</v>
      </c>
      <c r="B199" s="72" t="s">
        <v>577</v>
      </c>
      <c r="C199" s="93">
        <v>-11000</v>
      </c>
      <c r="D199" s="142" t="s">
        <v>453</v>
      </c>
      <c r="E199" s="142"/>
      <c r="F199" s="142"/>
      <c r="G199" s="86"/>
      <c r="H199" s="86"/>
      <c r="I199" s="86"/>
      <c r="J199" s="86"/>
      <c r="K199" s="86">
        <f>C199</f>
        <v>-11000</v>
      </c>
      <c r="L199" s="86"/>
      <c r="M199" s="86"/>
      <c r="N199" s="86"/>
      <c r="O199" s="86"/>
      <c r="P199" s="86"/>
      <c r="Q199" s="86"/>
      <c r="R199" s="89"/>
      <c r="S199" s="89"/>
      <c r="T199" s="89"/>
      <c r="U199" s="89"/>
      <c r="V199" s="89"/>
      <c r="W199" s="89"/>
      <c r="X199" s="89"/>
      <c r="Y199" s="89"/>
      <c r="Z199" s="89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</row>
    <row r="200" spans="1:38" s="90" customFormat="1" hidden="1">
      <c r="A200" s="354">
        <v>45428</v>
      </c>
      <c r="B200" s="72" t="s">
        <v>1045</v>
      </c>
      <c r="C200" s="93">
        <v>-413000</v>
      </c>
      <c r="D200" s="142" t="s">
        <v>454</v>
      </c>
      <c r="E200" s="142"/>
      <c r="F200" s="142"/>
      <c r="G200" s="86"/>
      <c r="H200" s="86">
        <f>C200</f>
        <v>-413000</v>
      </c>
      <c r="I200" s="86"/>
      <c r="J200" s="86"/>
      <c r="K200" s="86"/>
      <c r="L200" s="86"/>
      <c r="M200" s="86"/>
      <c r="N200" s="86"/>
      <c r="O200" s="86"/>
      <c r="P200" s="86"/>
      <c r="Q200" s="86"/>
      <c r="R200" s="89"/>
      <c r="S200" s="89"/>
      <c r="T200" s="89"/>
      <c r="U200" s="89"/>
      <c r="V200" s="89"/>
      <c r="W200" s="89"/>
      <c r="X200" s="89"/>
      <c r="Y200" s="89"/>
      <c r="Z200" s="89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</row>
    <row r="201" spans="1:38" s="90" customFormat="1" hidden="1">
      <c r="A201" s="354">
        <v>45428</v>
      </c>
      <c r="B201" s="72" t="s">
        <v>1046</v>
      </c>
      <c r="C201" s="93">
        <v>-700000</v>
      </c>
      <c r="D201" s="142" t="s">
        <v>454</v>
      </c>
      <c r="E201" s="142"/>
      <c r="F201" s="142"/>
      <c r="G201" s="86"/>
      <c r="H201" s="86">
        <f>C201</f>
        <v>-700000</v>
      </c>
      <c r="I201" s="86"/>
      <c r="J201" s="86"/>
      <c r="K201" s="86"/>
      <c r="L201" s="86"/>
      <c r="M201" s="86"/>
      <c r="N201" s="86"/>
      <c r="O201" s="86"/>
      <c r="P201" s="86"/>
      <c r="Q201" s="86"/>
      <c r="R201" s="89"/>
      <c r="S201" s="89"/>
      <c r="T201" s="89"/>
      <c r="U201" s="89"/>
      <c r="V201" s="89"/>
      <c r="W201" s="89"/>
      <c r="X201" s="89"/>
      <c r="Y201" s="89"/>
      <c r="Z201" s="89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</row>
    <row r="202" spans="1:38" s="90" customFormat="1" hidden="1">
      <c r="A202" s="354">
        <v>45428</v>
      </c>
      <c r="B202" s="72" t="s">
        <v>591</v>
      </c>
      <c r="C202" s="93">
        <v>-2942000</v>
      </c>
      <c r="D202" s="142" t="s">
        <v>454</v>
      </c>
      <c r="E202" s="142"/>
      <c r="F202" s="142"/>
      <c r="G202" s="86"/>
      <c r="H202" s="86">
        <f>C202</f>
        <v>-2942000</v>
      </c>
      <c r="I202" s="86"/>
      <c r="J202" s="86"/>
      <c r="K202" s="86"/>
      <c r="L202" s="86"/>
      <c r="M202" s="86"/>
      <c r="N202" s="86"/>
      <c r="O202" s="86"/>
      <c r="P202" s="86"/>
      <c r="Q202" s="86"/>
      <c r="R202" s="89"/>
      <c r="S202" s="89"/>
      <c r="T202" s="89"/>
      <c r="U202" s="89"/>
      <c r="V202" s="89"/>
      <c r="W202" s="89"/>
      <c r="X202" s="89"/>
      <c r="Y202" s="89"/>
      <c r="Z202" s="89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</row>
    <row r="203" spans="1:38" s="90" customFormat="1" hidden="1">
      <c r="A203" s="354">
        <v>45428</v>
      </c>
      <c r="B203" s="72" t="s">
        <v>1048</v>
      </c>
      <c r="C203" s="93">
        <v>-300000</v>
      </c>
      <c r="D203" s="142" t="s">
        <v>453</v>
      </c>
      <c r="E203" s="142"/>
      <c r="F203" s="142"/>
      <c r="G203" s="86"/>
      <c r="H203" s="86"/>
      <c r="I203" s="86"/>
      <c r="J203" s="86"/>
      <c r="K203" s="86">
        <f>C203</f>
        <v>-300000</v>
      </c>
      <c r="L203" s="86"/>
      <c r="M203" s="86"/>
      <c r="N203" s="86"/>
      <c r="O203" s="86"/>
      <c r="P203" s="86"/>
      <c r="Q203" s="86"/>
      <c r="R203" s="89"/>
      <c r="S203" s="89"/>
      <c r="T203" s="89"/>
      <c r="U203" s="89"/>
      <c r="V203" s="89"/>
      <c r="W203" s="89"/>
      <c r="X203" s="89"/>
      <c r="Y203" s="89"/>
      <c r="Z203" s="89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</row>
    <row r="204" spans="1:38" s="90" customFormat="1" hidden="1">
      <c r="A204" s="354">
        <v>45428</v>
      </c>
      <c r="B204" s="72" t="s">
        <v>605</v>
      </c>
      <c r="C204" s="93">
        <v>-170000</v>
      </c>
      <c r="D204" s="142" t="s">
        <v>454</v>
      </c>
      <c r="E204" s="142"/>
      <c r="F204" s="142"/>
      <c r="G204" s="86"/>
      <c r="H204" s="86">
        <f>C204</f>
        <v>-170000</v>
      </c>
      <c r="I204" s="86"/>
      <c r="J204" s="86"/>
      <c r="K204" s="86"/>
      <c r="L204" s="86"/>
      <c r="M204" s="86"/>
      <c r="N204" s="86"/>
      <c r="O204" s="86"/>
      <c r="P204" s="86"/>
      <c r="Q204" s="86"/>
      <c r="R204" s="89"/>
      <c r="S204" s="89"/>
      <c r="T204" s="89"/>
      <c r="U204" s="89"/>
      <c r="V204" s="89"/>
      <c r="W204" s="89"/>
      <c r="X204" s="89"/>
      <c r="Y204" s="89"/>
      <c r="Z204" s="89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</row>
    <row r="205" spans="1:38" s="90" customFormat="1" hidden="1">
      <c r="A205" s="354">
        <v>45428</v>
      </c>
      <c r="B205" s="72" t="s">
        <v>1049</v>
      </c>
      <c r="C205" s="93">
        <v>-89300</v>
      </c>
      <c r="D205" s="142" t="s">
        <v>25</v>
      </c>
      <c r="E205" s="142"/>
      <c r="F205" s="142"/>
      <c r="G205" s="86">
        <f>C205</f>
        <v>-89300</v>
      </c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9"/>
      <c r="S205" s="89"/>
      <c r="T205" s="89"/>
      <c r="U205" s="89"/>
      <c r="V205" s="89"/>
      <c r="W205" s="89"/>
      <c r="X205" s="89"/>
      <c r="Y205" s="89"/>
      <c r="Z205" s="89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</row>
    <row r="206" spans="1:38" s="90" customFormat="1" hidden="1">
      <c r="A206" s="354">
        <v>45428</v>
      </c>
      <c r="B206" s="72" t="s">
        <v>1051</v>
      </c>
      <c r="C206" s="93">
        <v>-105625</v>
      </c>
      <c r="D206" s="142" t="s">
        <v>25</v>
      </c>
      <c r="E206" s="142"/>
      <c r="F206" s="142"/>
      <c r="G206" s="86">
        <f>C206</f>
        <v>-105625</v>
      </c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9"/>
      <c r="S206" s="89"/>
      <c r="T206" s="89"/>
      <c r="U206" s="89"/>
      <c r="V206" s="89"/>
      <c r="W206" s="89"/>
      <c r="X206" s="89"/>
      <c r="Y206" s="89"/>
      <c r="Z206" s="89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</row>
    <row r="207" spans="1:38" s="90" customFormat="1" hidden="1">
      <c r="A207" s="354">
        <v>45428</v>
      </c>
      <c r="B207" s="72" t="s">
        <v>1052</v>
      </c>
      <c r="C207" s="93">
        <v>-65000</v>
      </c>
      <c r="D207" s="142" t="s">
        <v>25</v>
      </c>
      <c r="E207" s="142"/>
      <c r="F207" s="142"/>
      <c r="G207" s="86">
        <f>C207</f>
        <v>-65000</v>
      </c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9"/>
      <c r="S207" s="89"/>
      <c r="T207" s="89"/>
      <c r="U207" s="89"/>
      <c r="V207" s="89"/>
      <c r="W207" s="89"/>
      <c r="X207" s="89"/>
      <c r="Y207" s="89"/>
      <c r="Z207" s="89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</row>
    <row r="208" spans="1:38" s="90" customFormat="1" hidden="1">
      <c r="A208" s="354">
        <v>45428</v>
      </c>
      <c r="B208" s="72" t="s">
        <v>1042</v>
      </c>
      <c r="C208" s="93">
        <v>-700000</v>
      </c>
      <c r="D208" s="142" t="s">
        <v>454</v>
      </c>
      <c r="E208" s="142"/>
      <c r="F208" s="142"/>
      <c r="G208" s="86"/>
      <c r="H208" s="86">
        <f>C208</f>
        <v>-700000</v>
      </c>
      <c r="I208" s="86"/>
      <c r="J208" s="86"/>
      <c r="K208" s="86"/>
      <c r="L208" s="86"/>
      <c r="M208" s="86"/>
      <c r="N208" s="86"/>
      <c r="O208" s="86"/>
      <c r="P208" s="86"/>
      <c r="Q208" s="86"/>
      <c r="R208" s="89"/>
      <c r="S208" s="89"/>
      <c r="T208" s="89"/>
      <c r="U208" s="89"/>
      <c r="V208" s="89"/>
      <c r="W208" s="89"/>
      <c r="X208" s="89"/>
      <c r="Y208" s="89"/>
      <c r="Z208" s="89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</row>
    <row r="209" spans="1:38" s="90" customFormat="1" hidden="1">
      <c r="A209" s="354">
        <v>45429</v>
      </c>
      <c r="B209" s="72" t="s">
        <v>577</v>
      </c>
      <c r="C209" s="93">
        <v>-11000</v>
      </c>
      <c r="D209" s="142" t="s">
        <v>453</v>
      </c>
      <c r="E209" s="142"/>
      <c r="F209" s="142"/>
      <c r="G209" s="86"/>
      <c r="H209" s="86"/>
      <c r="I209" s="86"/>
      <c r="J209" s="86"/>
      <c r="K209" s="86">
        <f>C209</f>
        <v>-11000</v>
      </c>
      <c r="L209" s="86"/>
      <c r="M209" s="86"/>
      <c r="N209" s="86"/>
      <c r="O209" s="86"/>
      <c r="P209" s="86"/>
      <c r="Q209" s="86"/>
      <c r="R209" s="89"/>
      <c r="S209" s="89"/>
      <c r="T209" s="89"/>
      <c r="U209" s="89"/>
      <c r="V209" s="89"/>
      <c r="W209" s="89"/>
      <c r="X209" s="89"/>
      <c r="Y209" s="89"/>
      <c r="Z209" s="89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</row>
    <row r="210" spans="1:38" s="90" customFormat="1" hidden="1">
      <c r="A210" s="354">
        <v>45429</v>
      </c>
      <c r="B210" s="72" t="s">
        <v>1054</v>
      </c>
      <c r="C210" s="93">
        <v>-425000</v>
      </c>
      <c r="D210" s="142" t="s">
        <v>1110</v>
      </c>
      <c r="E210" s="142"/>
      <c r="F210" s="142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9"/>
      <c r="S210" s="89"/>
      <c r="T210" s="89"/>
      <c r="U210" s="89"/>
      <c r="V210" s="89"/>
      <c r="W210" s="89"/>
      <c r="X210" s="89"/>
      <c r="Y210" s="89"/>
      <c r="Z210" s="89"/>
      <c r="AA210" s="86"/>
      <c r="AB210" s="86">
        <f>C210</f>
        <v>-425000</v>
      </c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</row>
    <row r="211" spans="1:38" s="90" customFormat="1" hidden="1">
      <c r="A211" s="354">
        <v>45429</v>
      </c>
      <c r="B211" s="72" t="s">
        <v>584</v>
      </c>
      <c r="C211" s="93">
        <v>-1214000</v>
      </c>
      <c r="D211" s="142" t="s">
        <v>454</v>
      </c>
      <c r="E211" s="142"/>
      <c r="F211" s="142"/>
      <c r="G211" s="86"/>
      <c r="H211" s="86">
        <f>C211</f>
        <v>-1214000</v>
      </c>
      <c r="I211" s="86"/>
      <c r="J211" s="86"/>
      <c r="K211" s="86"/>
      <c r="L211" s="86"/>
      <c r="M211" s="86"/>
      <c r="N211" s="86"/>
      <c r="O211" s="86"/>
      <c r="P211" s="86"/>
      <c r="Q211" s="86"/>
      <c r="R211" s="89"/>
      <c r="S211" s="89"/>
      <c r="T211" s="89"/>
      <c r="U211" s="89"/>
      <c r="V211" s="89"/>
      <c r="W211" s="89"/>
      <c r="X211" s="89"/>
      <c r="Y211" s="89"/>
      <c r="Z211" s="89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</row>
    <row r="212" spans="1:38" s="90" customFormat="1" hidden="1">
      <c r="A212" s="354">
        <v>45429</v>
      </c>
      <c r="B212" s="72" t="s">
        <v>1055</v>
      </c>
      <c r="C212" s="93">
        <v>-40000</v>
      </c>
      <c r="D212" s="142" t="s">
        <v>454</v>
      </c>
      <c r="E212" s="142"/>
      <c r="F212" s="142"/>
      <c r="G212" s="86"/>
      <c r="H212" s="86">
        <f>C212</f>
        <v>-40000</v>
      </c>
      <c r="I212" s="86"/>
      <c r="J212" s="86"/>
      <c r="K212" s="86"/>
      <c r="L212" s="86"/>
      <c r="M212" s="86"/>
      <c r="N212" s="86"/>
      <c r="O212" s="86"/>
      <c r="P212" s="86"/>
      <c r="Q212" s="86"/>
      <c r="R212" s="89"/>
      <c r="S212" s="89"/>
      <c r="T212" s="89"/>
      <c r="U212" s="89"/>
      <c r="V212" s="89"/>
      <c r="W212" s="89"/>
      <c r="X212" s="89"/>
      <c r="Y212" s="89"/>
      <c r="Z212" s="89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</row>
    <row r="213" spans="1:38" s="90" customFormat="1" hidden="1">
      <c r="A213" s="354">
        <v>45429</v>
      </c>
      <c r="B213" s="72" t="s">
        <v>1056</v>
      </c>
      <c r="C213" s="93">
        <v>-20000</v>
      </c>
      <c r="D213" s="142" t="s">
        <v>454</v>
      </c>
      <c r="E213" s="142"/>
      <c r="F213" s="142"/>
      <c r="G213" s="86"/>
      <c r="H213" s="86">
        <f>C213</f>
        <v>-20000</v>
      </c>
      <c r="I213" s="86"/>
      <c r="J213" s="86"/>
      <c r="K213" s="86"/>
      <c r="L213" s="86"/>
      <c r="M213" s="86"/>
      <c r="N213" s="86"/>
      <c r="O213" s="86"/>
      <c r="P213" s="86"/>
      <c r="Q213" s="86"/>
      <c r="R213" s="89"/>
      <c r="S213" s="89"/>
      <c r="T213" s="89"/>
      <c r="U213" s="89"/>
      <c r="V213" s="89"/>
      <c r="W213" s="89"/>
      <c r="X213" s="89"/>
      <c r="Y213" s="89"/>
      <c r="Z213" s="89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</row>
    <row r="214" spans="1:38" s="90" customFormat="1" hidden="1">
      <c r="A214" s="354">
        <v>45429</v>
      </c>
      <c r="B214" s="72" t="s">
        <v>582</v>
      </c>
      <c r="C214" s="93">
        <v>-134625</v>
      </c>
      <c r="D214" s="142" t="s">
        <v>27</v>
      </c>
      <c r="E214" s="142"/>
      <c r="F214" s="142"/>
      <c r="G214" s="86"/>
      <c r="H214" s="86"/>
      <c r="I214" s="86">
        <f>C214</f>
        <v>-134625</v>
      </c>
      <c r="J214" s="86"/>
      <c r="K214" s="86"/>
      <c r="L214" s="86"/>
      <c r="M214" s="86"/>
      <c r="N214" s="86"/>
      <c r="O214" s="86"/>
      <c r="P214" s="86"/>
      <c r="Q214" s="86"/>
      <c r="R214" s="89"/>
      <c r="S214" s="89"/>
      <c r="T214" s="89"/>
      <c r="U214" s="89"/>
      <c r="V214" s="89"/>
      <c r="W214" s="89"/>
      <c r="X214" s="89"/>
      <c r="Y214" s="89"/>
      <c r="Z214" s="89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</row>
    <row r="215" spans="1:38" s="90" customFormat="1" hidden="1">
      <c r="A215" s="354">
        <v>45429</v>
      </c>
      <c r="B215" s="72" t="s">
        <v>1058</v>
      </c>
      <c r="C215" s="93">
        <v>-4548500</v>
      </c>
      <c r="D215" s="142" t="s">
        <v>454</v>
      </c>
      <c r="E215" s="142"/>
      <c r="F215" s="142"/>
      <c r="G215" s="86"/>
      <c r="H215" s="86">
        <f>C215</f>
        <v>-4548500</v>
      </c>
      <c r="I215" s="86"/>
      <c r="J215" s="86"/>
      <c r="K215" s="86"/>
      <c r="L215" s="86"/>
      <c r="M215" s="86"/>
      <c r="N215" s="86"/>
      <c r="O215" s="86"/>
      <c r="P215" s="86"/>
      <c r="Q215" s="86"/>
      <c r="R215" s="89"/>
      <c r="S215" s="89"/>
      <c r="T215" s="89"/>
      <c r="U215" s="89"/>
      <c r="V215" s="89"/>
      <c r="W215" s="89"/>
      <c r="X215" s="89"/>
      <c r="Y215" s="89"/>
      <c r="Z215" s="89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</row>
    <row r="216" spans="1:38" s="90" customFormat="1" hidden="1">
      <c r="A216" s="354">
        <v>45429</v>
      </c>
      <c r="B216" s="72" t="s">
        <v>951</v>
      </c>
      <c r="C216" s="93">
        <v>-700000</v>
      </c>
      <c r="D216" s="142" t="s">
        <v>454</v>
      </c>
      <c r="E216" s="142"/>
      <c r="F216" s="142"/>
      <c r="G216" s="86"/>
      <c r="H216" s="86">
        <f>C216</f>
        <v>-700000</v>
      </c>
      <c r="I216" s="86"/>
      <c r="J216" s="86"/>
      <c r="K216" s="86"/>
      <c r="L216" s="86"/>
      <c r="M216" s="86"/>
      <c r="N216" s="86"/>
      <c r="O216" s="86"/>
      <c r="P216" s="86"/>
      <c r="Q216" s="86"/>
      <c r="R216" s="89"/>
      <c r="S216" s="89"/>
      <c r="T216" s="89"/>
      <c r="U216" s="89"/>
      <c r="V216" s="89"/>
      <c r="W216" s="89"/>
      <c r="X216" s="89"/>
      <c r="Y216" s="89"/>
      <c r="Z216" s="89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</row>
    <row r="217" spans="1:38" s="90" customFormat="1" hidden="1">
      <c r="A217" s="354">
        <v>45429</v>
      </c>
      <c r="B217" s="72" t="s">
        <v>606</v>
      </c>
      <c r="C217" s="93">
        <v>-715000</v>
      </c>
      <c r="D217" s="142" t="s">
        <v>454</v>
      </c>
      <c r="E217" s="142"/>
      <c r="F217" s="142"/>
      <c r="G217" s="86"/>
      <c r="H217" s="86">
        <f>C217</f>
        <v>-715000</v>
      </c>
      <c r="I217" s="86"/>
      <c r="J217" s="86"/>
      <c r="K217" s="86"/>
      <c r="L217" s="86"/>
      <c r="M217" s="86"/>
      <c r="N217" s="86"/>
      <c r="O217" s="86"/>
      <c r="P217" s="86"/>
      <c r="Q217" s="86"/>
      <c r="R217" s="89"/>
      <c r="S217" s="89"/>
      <c r="T217" s="89"/>
      <c r="U217" s="89"/>
      <c r="V217" s="89"/>
      <c r="W217" s="89"/>
      <c r="X217" s="89"/>
      <c r="Y217" s="89"/>
      <c r="Z217" s="89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</row>
    <row r="218" spans="1:38" s="90" customFormat="1" hidden="1">
      <c r="A218" s="354">
        <v>45429</v>
      </c>
      <c r="B218" s="72" t="s">
        <v>594</v>
      </c>
      <c r="C218" s="93">
        <v>-423000</v>
      </c>
      <c r="D218" s="142" t="s">
        <v>454</v>
      </c>
      <c r="E218" s="142"/>
      <c r="F218" s="142"/>
      <c r="G218" s="86"/>
      <c r="H218" s="86">
        <f>C218</f>
        <v>-423000</v>
      </c>
      <c r="I218" s="86"/>
      <c r="J218" s="86"/>
      <c r="K218" s="86"/>
      <c r="L218" s="86"/>
      <c r="M218" s="86"/>
      <c r="N218" s="86"/>
      <c r="O218" s="86"/>
      <c r="P218" s="86"/>
      <c r="Q218" s="86"/>
      <c r="R218" s="89"/>
      <c r="S218" s="89"/>
      <c r="T218" s="89"/>
      <c r="U218" s="89"/>
      <c r="V218" s="89"/>
      <c r="W218" s="89"/>
      <c r="X218" s="89"/>
      <c r="Y218" s="89"/>
      <c r="Z218" s="89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</row>
    <row r="219" spans="1:38" s="90" customFormat="1" hidden="1">
      <c r="A219" s="354">
        <v>45429</v>
      </c>
      <c r="B219" s="72" t="s">
        <v>1060</v>
      </c>
      <c r="C219" s="93">
        <v>-89000</v>
      </c>
      <c r="D219" s="142" t="s">
        <v>25</v>
      </c>
      <c r="E219" s="142"/>
      <c r="F219" s="142"/>
      <c r="G219" s="86">
        <f>C219</f>
        <v>-89000</v>
      </c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9"/>
      <c r="S219" s="89"/>
      <c r="T219" s="89"/>
      <c r="U219" s="89"/>
      <c r="V219" s="89"/>
      <c r="W219" s="89"/>
      <c r="X219" s="89"/>
      <c r="Y219" s="89"/>
      <c r="Z219" s="89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</row>
    <row r="220" spans="1:38" s="90" customFormat="1" hidden="1">
      <c r="A220" s="354">
        <v>45429</v>
      </c>
      <c r="B220" s="72" t="s">
        <v>1061</v>
      </c>
      <c r="C220" s="93">
        <v>-99000</v>
      </c>
      <c r="D220" s="142" t="s">
        <v>607</v>
      </c>
      <c r="E220" s="142"/>
      <c r="F220" s="142"/>
      <c r="G220" s="86"/>
      <c r="H220" s="86"/>
      <c r="I220" s="86"/>
      <c r="J220" s="86">
        <f>C220</f>
        <v>-99000</v>
      </c>
      <c r="K220" s="86"/>
      <c r="L220" s="86"/>
      <c r="M220" s="86"/>
      <c r="N220" s="86"/>
      <c r="O220" s="86"/>
      <c r="P220" s="86"/>
      <c r="Q220" s="86"/>
      <c r="R220" s="89"/>
      <c r="S220" s="89"/>
      <c r="T220" s="89"/>
      <c r="U220" s="89"/>
      <c r="V220" s="89"/>
      <c r="W220" s="89"/>
      <c r="X220" s="89"/>
      <c r="Y220" s="89"/>
      <c r="Z220" s="89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</row>
    <row r="221" spans="1:38" s="90" customFormat="1" hidden="1">
      <c r="A221" s="354">
        <v>45429</v>
      </c>
      <c r="B221" s="72" t="s">
        <v>1062</v>
      </c>
      <c r="C221" s="93">
        <v>-120000</v>
      </c>
      <c r="D221" s="142" t="s">
        <v>25</v>
      </c>
      <c r="E221" s="142"/>
      <c r="F221" s="142"/>
      <c r="G221" s="86">
        <f>C221</f>
        <v>-120000</v>
      </c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9"/>
      <c r="S221" s="89"/>
      <c r="T221" s="89"/>
      <c r="U221" s="89"/>
      <c r="V221" s="89"/>
      <c r="W221" s="89"/>
      <c r="X221" s="89"/>
      <c r="Y221" s="89"/>
      <c r="Z221" s="89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</row>
    <row r="222" spans="1:38" s="90" customFormat="1" hidden="1">
      <c r="A222" s="354">
        <v>45429</v>
      </c>
      <c r="B222" s="72" t="s">
        <v>1063</v>
      </c>
      <c r="C222" s="93">
        <v>-65000</v>
      </c>
      <c r="D222" s="142" t="s">
        <v>25</v>
      </c>
      <c r="E222" s="142"/>
      <c r="F222" s="142"/>
      <c r="G222" s="86">
        <f>C222</f>
        <v>-65000</v>
      </c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9"/>
      <c r="S222" s="89"/>
      <c r="T222" s="89"/>
      <c r="U222" s="89"/>
      <c r="V222" s="89"/>
      <c r="W222" s="89"/>
      <c r="X222" s="89"/>
      <c r="Y222" s="89"/>
      <c r="Z222" s="89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</row>
    <row r="223" spans="1:38" s="90" customFormat="1" hidden="1">
      <c r="A223" s="354">
        <v>45429</v>
      </c>
      <c r="B223" s="72" t="s">
        <v>1064</v>
      </c>
      <c r="C223" s="93">
        <v>-40000</v>
      </c>
      <c r="D223" s="142" t="s">
        <v>454</v>
      </c>
      <c r="E223" s="142"/>
      <c r="F223" s="142"/>
      <c r="G223" s="86"/>
      <c r="H223" s="86">
        <f>C223</f>
        <v>-40000</v>
      </c>
      <c r="I223" s="86"/>
      <c r="J223" s="86"/>
      <c r="K223" s="86"/>
      <c r="L223" s="86"/>
      <c r="M223" s="86"/>
      <c r="N223" s="86"/>
      <c r="O223" s="86"/>
      <c r="P223" s="86"/>
      <c r="Q223" s="86"/>
      <c r="R223" s="89"/>
      <c r="S223" s="89"/>
      <c r="T223" s="89"/>
      <c r="U223" s="89"/>
      <c r="V223" s="89"/>
      <c r="W223" s="89"/>
      <c r="X223" s="89"/>
      <c r="Y223" s="89"/>
      <c r="Z223" s="89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</row>
    <row r="224" spans="1:38" s="90" customFormat="1" hidden="1">
      <c r="A224" s="354">
        <v>45429</v>
      </c>
      <c r="B224" s="72" t="s">
        <v>1065</v>
      </c>
      <c r="C224" s="93">
        <v>-910000</v>
      </c>
      <c r="D224" s="142" t="s">
        <v>454</v>
      </c>
      <c r="E224" s="142"/>
      <c r="F224" s="142"/>
      <c r="G224" s="86"/>
      <c r="H224" s="86">
        <f>C224</f>
        <v>-910000</v>
      </c>
      <c r="I224" s="86"/>
      <c r="J224" s="86"/>
      <c r="K224" s="86"/>
      <c r="L224" s="86"/>
      <c r="M224" s="86"/>
      <c r="N224" s="86"/>
      <c r="O224" s="86"/>
      <c r="P224" s="86"/>
      <c r="Q224" s="86"/>
      <c r="R224" s="89"/>
      <c r="S224" s="89"/>
      <c r="T224" s="89"/>
      <c r="U224" s="89"/>
      <c r="V224" s="89"/>
      <c r="W224" s="89"/>
      <c r="X224" s="89"/>
      <c r="Y224" s="89"/>
      <c r="Z224" s="89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</row>
    <row r="225" spans="1:38" s="90" customFormat="1" hidden="1">
      <c r="A225" s="354">
        <v>45429</v>
      </c>
      <c r="B225" s="72" t="s">
        <v>1066</v>
      </c>
      <c r="C225" s="93">
        <v>-80000</v>
      </c>
      <c r="D225" s="142" t="s">
        <v>25</v>
      </c>
      <c r="E225" s="142"/>
      <c r="F225" s="142"/>
      <c r="G225" s="86">
        <f>C225</f>
        <v>-80000</v>
      </c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9"/>
      <c r="S225" s="89"/>
      <c r="T225" s="89"/>
      <c r="U225" s="89"/>
      <c r="V225" s="89"/>
      <c r="W225" s="89"/>
      <c r="X225" s="89"/>
      <c r="Y225" s="89"/>
      <c r="Z225" s="89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</row>
    <row r="226" spans="1:38" s="90" customFormat="1" hidden="1">
      <c r="A226" s="354">
        <v>45429</v>
      </c>
      <c r="B226" s="72" t="s">
        <v>591</v>
      </c>
      <c r="C226" s="93">
        <v>-214000</v>
      </c>
      <c r="D226" s="142" t="s">
        <v>454</v>
      </c>
      <c r="E226" s="142"/>
      <c r="F226" s="142"/>
      <c r="G226" s="86"/>
      <c r="H226" s="86">
        <f>C226</f>
        <v>-214000</v>
      </c>
      <c r="I226" s="86"/>
      <c r="J226" s="86"/>
      <c r="K226" s="86"/>
      <c r="L226" s="86"/>
      <c r="M226" s="86"/>
      <c r="N226" s="86"/>
      <c r="O226" s="86"/>
      <c r="P226" s="86"/>
      <c r="Q226" s="86"/>
      <c r="R226" s="89"/>
      <c r="S226" s="89"/>
      <c r="T226" s="89"/>
      <c r="U226" s="89"/>
      <c r="V226" s="89"/>
      <c r="W226" s="89"/>
      <c r="X226" s="89"/>
      <c r="Y226" s="89"/>
      <c r="Z226" s="89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</row>
    <row r="227" spans="1:38" s="90" customFormat="1" hidden="1">
      <c r="A227" s="354">
        <v>45430</v>
      </c>
      <c r="B227" s="72" t="s">
        <v>577</v>
      </c>
      <c r="C227" s="93">
        <v>-11000</v>
      </c>
      <c r="D227" s="142" t="s">
        <v>453</v>
      </c>
      <c r="E227" s="142"/>
      <c r="F227" s="142"/>
      <c r="G227" s="86"/>
      <c r="H227" s="86"/>
      <c r="I227" s="86"/>
      <c r="J227" s="86"/>
      <c r="K227" s="86">
        <f>C227</f>
        <v>-11000</v>
      </c>
      <c r="L227" s="86"/>
      <c r="M227" s="86"/>
      <c r="N227" s="86"/>
      <c r="O227" s="86"/>
      <c r="P227" s="86"/>
      <c r="Q227" s="86"/>
      <c r="R227" s="89"/>
      <c r="S227" s="89"/>
      <c r="T227" s="89"/>
      <c r="U227" s="89"/>
      <c r="V227" s="89"/>
      <c r="W227" s="89"/>
      <c r="X227" s="89"/>
      <c r="Y227" s="89"/>
      <c r="Z227" s="89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</row>
    <row r="228" spans="1:38" s="90" customFormat="1" hidden="1">
      <c r="A228" s="354">
        <v>45430</v>
      </c>
      <c r="B228" s="72" t="s">
        <v>1068</v>
      </c>
      <c r="C228" s="93">
        <v>-140000</v>
      </c>
      <c r="D228" s="142" t="s">
        <v>453</v>
      </c>
      <c r="E228" s="142"/>
      <c r="F228" s="142"/>
      <c r="G228" s="86"/>
      <c r="H228" s="86"/>
      <c r="I228" s="86"/>
      <c r="J228" s="86"/>
      <c r="K228" s="86">
        <f>C228</f>
        <v>-140000</v>
      </c>
      <c r="L228" s="86"/>
      <c r="M228" s="86"/>
      <c r="N228" s="86"/>
      <c r="O228" s="86"/>
      <c r="P228" s="86"/>
      <c r="Q228" s="86"/>
      <c r="R228" s="89"/>
      <c r="S228" s="89"/>
      <c r="T228" s="89"/>
      <c r="U228" s="89"/>
      <c r="V228" s="89"/>
      <c r="W228" s="89"/>
      <c r="X228" s="89"/>
      <c r="Y228" s="89"/>
      <c r="Z228" s="89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</row>
    <row r="229" spans="1:38" s="90" customFormat="1" hidden="1">
      <c r="A229" s="354">
        <v>45430</v>
      </c>
      <c r="B229" s="72" t="s">
        <v>1069</v>
      </c>
      <c r="C229" s="93">
        <v>-200000</v>
      </c>
      <c r="D229" s="142" t="s">
        <v>453</v>
      </c>
      <c r="E229" s="142"/>
      <c r="F229" s="142"/>
      <c r="G229" s="86"/>
      <c r="H229" s="86"/>
      <c r="I229" s="86"/>
      <c r="J229" s="86"/>
      <c r="K229" s="86">
        <f>C229</f>
        <v>-200000</v>
      </c>
      <c r="L229" s="86"/>
      <c r="M229" s="86"/>
      <c r="N229" s="86"/>
      <c r="O229" s="86"/>
      <c r="P229" s="86"/>
      <c r="Q229" s="86"/>
      <c r="R229" s="89"/>
      <c r="S229" s="89"/>
      <c r="T229" s="89"/>
      <c r="U229" s="89"/>
      <c r="V229" s="89"/>
      <c r="W229" s="89"/>
      <c r="X229" s="89"/>
      <c r="Y229" s="89"/>
      <c r="Z229" s="89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</row>
    <row r="230" spans="1:38" s="90" customFormat="1" hidden="1">
      <c r="A230" s="354">
        <v>45430</v>
      </c>
      <c r="B230" s="72" t="s">
        <v>591</v>
      </c>
      <c r="C230" s="93">
        <v>-3277000</v>
      </c>
      <c r="D230" s="142" t="s">
        <v>454</v>
      </c>
      <c r="E230" s="142"/>
      <c r="F230" s="142"/>
      <c r="G230" s="86"/>
      <c r="H230" s="86">
        <f>C230</f>
        <v>-3277000</v>
      </c>
      <c r="I230" s="86"/>
      <c r="J230" s="86"/>
      <c r="K230" s="86"/>
      <c r="L230" s="86"/>
      <c r="M230" s="86"/>
      <c r="N230" s="86"/>
      <c r="O230" s="86"/>
      <c r="P230" s="86"/>
      <c r="Q230" s="86"/>
      <c r="R230" s="89"/>
      <c r="S230" s="89"/>
      <c r="T230" s="89"/>
      <c r="U230" s="89"/>
      <c r="V230" s="89"/>
      <c r="W230" s="89"/>
      <c r="X230" s="89"/>
      <c r="Y230" s="89"/>
      <c r="Z230" s="89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</row>
    <row r="231" spans="1:38" s="90" customFormat="1" hidden="1">
      <c r="A231" s="354">
        <v>45430</v>
      </c>
      <c r="B231" s="72" t="s">
        <v>592</v>
      </c>
      <c r="C231" s="93">
        <v>-10000</v>
      </c>
      <c r="D231" s="142" t="s">
        <v>454</v>
      </c>
      <c r="E231" s="142"/>
      <c r="F231" s="142"/>
      <c r="G231" s="86"/>
      <c r="H231" s="86">
        <f>C231</f>
        <v>-10000</v>
      </c>
      <c r="I231" s="86"/>
      <c r="J231" s="86"/>
      <c r="K231" s="86"/>
      <c r="L231" s="86"/>
      <c r="M231" s="86"/>
      <c r="N231" s="86"/>
      <c r="O231" s="86"/>
      <c r="P231" s="86"/>
      <c r="Q231" s="86"/>
      <c r="R231" s="89"/>
      <c r="S231" s="89"/>
      <c r="T231" s="89"/>
      <c r="U231" s="89"/>
      <c r="V231" s="89"/>
      <c r="W231" s="89"/>
      <c r="X231" s="89"/>
      <c r="Y231" s="89"/>
      <c r="Z231" s="89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</row>
    <row r="232" spans="1:38" s="90" customFormat="1" hidden="1">
      <c r="A232" s="354">
        <v>45430</v>
      </c>
      <c r="B232" s="72" t="s">
        <v>1071</v>
      </c>
      <c r="C232" s="93">
        <v>-700000</v>
      </c>
      <c r="D232" s="142" t="s">
        <v>454</v>
      </c>
      <c r="E232" s="142"/>
      <c r="F232" s="142"/>
      <c r="G232" s="86"/>
      <c r="H232" s="86">
        <f>C232</f>
        <v>-700000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9"/>
      <c r="S232" s="89"/>
      <c r="T232" s="89"/>
      <c r="U232" s="89"/>
      <c r="V232" s="89"/>
      <c r="W232" s="89"/>
      <c r="X232" s="89"/>
      <c r="Y232" s="89"/>
      <c r="Z232" s="89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</row>
    <row r="233" spans="1:38" s="90" customFormat="1" hidden="1">
      <c r="A233" s="354">
        <v>45430</v>
      </c>
      <c r="B233" s="72" t="s">
        <v>582</v>
      </c>
      <c r="C233" s="93">
        <v>-353450</v>
      </c>
      <c r="D233" s="142" t="s">
        <v>27</v>
      </c>
      <c r="E233" s="142"/>
      <c r="F233" s="142"/>
      <c r="G233" s="86"/>
      <c r="H233" s="86"/>
      <c r="I233" s="86">
        <f>C233</f>
        <v>-353450</v>
      </c>
      <c r="J233" s="86"/>
      <c r="K233" s="86"/>
      <c r="L233" s="86"/>
      <c r="M233" s="86"/>
      <c r="N233" s="86"/>
      <c r="O233" s="86"/>
      <c r="P233" s="86"/>
      <c r="Q233" s="86"/>
      <c r="R233" s="89"/>
      <c r="S233" s="89"/>
      <c r="T233" s="89"/>
      <c r="U233" s="89"/>
      <c r="V233" s="89"/>
      <c r="W233" s="89"/>
      <c r="X233" s="89"/>
      <c r="Y233" s="89"/>
      <c r="Z233" s="89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</row>
    <row r="234" spans="1:38" s="90" customFormat="1" hidden="1">
      <c r="A234" s="354">
        <v>45430</v>
      </c>
      <c r="B234" s="72" t="s">
        <v>1073</v>
      </c>
      <c r="C234" s="93">
        <v>-97500</v>
      </c>
      <c r="D234" s="142" t="s">
        <v>25</v>
      </c>
      <c r="E234" s="142"/>
      <c r="F234" s="142"/>
      <c r="G234" s="86">
        <f>C234</f>
        <v>-97500</v>
      </c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9"/>
      <c r="S234" s="89"/>
      <c r="T234" s="89"/>
      <c r="U234" s="89"/>
      <c r="V234" s="89"/>
      <c r="W234" s="89"/>
      <c r="X234" s="89"/>
      <c r="Y234" s="89"/>
      <c r="Z234" s="89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</row>
    <row r="235" spans="1:38" s="90" customFormat="1" hidden="1">
      <c r="A235" s="354">
        <v>45430</v>
      </c>
      <c r="B235" s="72" t="s">
        <v>1074</v>
      </c>
      <c r="C235" s="93">
        <v>-150000</v>
      </c>
      <c r="D235" s="142" t="s">
        <v>453</v>
      </c>
      <c r="E235" s="142"/>
      <c r="F235" s="142"/>
      <c r="G235" s="86"/>
      <c r="H235" s="86"/>
      <c r="I235" s="86"/>
      <c r="J235" s="86"/>
      <c r="K235" s="86">
        <f>C235</f>
        <v>-150000</v>
      </c>
      <c r="L235" s="86"/>
      <c r="M235" s="86"/>
      <c r="N235" s="86"/>
      <c r="O235" s="86"/>
      <c r="P235" s="86"/>
      <c r="Q235" s="86"/>
      <c r="R235" s="89"/>
      <c r="S235" s="89"/>
      <c r="T235" s="89"/>
      <c r="U235" s="89"/>
      <c r="V235" s="89"/>
      <c r="W235" s="89"/>
      <c r="X235" s="89"/>
      <c r="Y235" s="89"/>
      <c r="Z235" s="89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</row>
    <row r="236" spans="1:38" s="90" customFormat="1" hidden="1">
      <c r="A236" s="354">
        <v>45430</v>
      </c>
      <c r="B236" s="72" t="s">
        <v>1079</v>
      </c>
      <c r="C236" s="93">
        <v>-20000</v>
      </c>
      <c r="D236" s="142" t="s">
        <v>134</v>
      </c>
      <c r="E236" s="142"/>
      <c r="F236" s="142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9"/>
      <c r="S236" s="89"/>
      <c r="T236" s="89"/>
      <c r="U236" s="89"/>
      <c r="V236" s="89"/>
      <c r="W236" s="89"/>
      <c r="X236" s="89"/>
      <c r="Y236" s="89"/>
      <c r="Z236" s="89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>
        <f>C236</f>
        <v>-20000</v>
      </c>
      <c r="AL236" s="86"/>
    </row>
    <row r="237" spans="1:38" s="90" customFormat="1" hidden="1">
      <c r="A237" s="354">
        <v>45430</v>
      </c>
      <c r="B237" s="72" t="s">
        <v>602</v>
      </c>
      <c r="C237" s="93">
        <v>-10000</v>
      </c>
      <c r="D237" s="142" t="s">
        <v>134</v>
      </c>
      <c r="E237" s="142"/>
      <c r="F237" s="142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9"/>
      <c r="S237" s="89"/>
      <c r="T237" s="89"/>
      <c r="U237" s="89"/>
      <c r="V237" s="89"/>
      <c r="W237" s="89"/>
      <c r="X237" s="89"/>
      <c r="Y237" s="89"/>
      <c r="Z237" s="89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>
        <f>C237</f>
        <v>-10000</v>
      </c>
      <c r="AL237" s="86"/>
    </row>
    <row r="238" spans="1:38" s="90" customFormat="1" hidden="1">
      <c r="A238" s="354">
        <v>45430</v>
      </c>
      <c r="B238" s="72" t="s">
        <v>1080</v>
      </c>
      <c r="C238" s="93">
        <v>-480000</v>
      </c>
      <c r="D238" s="142" t="s">
        <v>607</v>
      </c>
      <c r="E238" s="142"/>
      <c r="F238" s="142"/>
      <c r="G238" s="86"/>
      <c r="H238" s="86"/>
      <c r="I238" s="86"/>
      <c r="J238" s="86">
        <f>C238</f>
        <v>-480000</v>
      </c>
      <c r="K238" s="86"/>
      <c r="L238" s="86"/>
      <c r="M238" s="86"/>
      <c r="N238" s="86"/>
      <c r="O238" s="86"/>
      <c r="P238" s="86"/>
      <c r="Q238" s="86"/>
      <c r="R238" s="89"/>
      <c r="S238" s="89"/>
      <c r="T238" s="89"/>
      <c r="U238" s="89"/>
      <c r="V238" s="89"/>
      <c r="W238" s="89"/>
      <c r="X238" s="89"/>
      <c r="Y238" s="89"/>
      <c r="Z238" s="89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</row>
    <row r="239" spans="1:38" s="90" customFormat="1" hidden="1">
      <c r="A239" s="354">
        <v>45430</v>
      </c>
      <c r="B239" s="72" t="s">
        <v>1081</v>
      </c>
      <c r="C239" s="93">
        <v>-65000</v>
      </c>
      <c r="D239" s="142" t="s">
        <v>25</v>
      </c>
      <c r="E239" s="142"/>
      <c r="F239" s="142"/>
      <c r="G239" s="86">
        <f>C239</f>
        <v>-65000</v>
      </c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9"/>
      <c r="S239" s="89"/>
      <c r="T239" s="89"/>
      <c r="U239" s="89"/>
      <c r="V239" s="89"/>
      <c r="W239" s="89"/>
      <c r="X239" s="89"/>
      <c r="Y239" s="89"/>
      <c r="Z239" s="89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</row>
    <row r="240" spans="1:38" s="90" customFormat="1" hidden="1">
      <c r="A240" s="354">
        <v>45431</v>
      </c>
      <c r="B240" s="72" t="s">
        <v>577</v>
      </c>
      <c r="C240" s="93">
        <v>-11000</v>
      </c>
      <c r="D240" s="142" t="s">
        <v>453</v>
      </c>
      <c r="E240" s="142"/>
      <c r="F240" s="142"/>
      <c r="G240" s="86"/>
      <c r="H240" s="86"/>
      <c r="I240" s="86"/>
      <c r="J240" s="86"/>
      <c r="K240" s="86">
        <f>C240</f>
        <v>-11000</v>
      </c>
      <c r="L240" s="86"/>
      <c r="M240" s="86"/>
      <c r="N240" s="86"/>
      <c r="O240" s="86"/>
      <c r="P240" s="86"/>
      <c r="Q240" s="86"/>
      <c r="R240" s="89"/>
      <c r="S240" s="89"/>
      <c r="T240" s="89"/>
      <c r="U240" s="89"/>
      <c r="V240" s="89"/>
      <c r="W240" s="89"/>
      <c r="X240" s="89"/>
      <c r="Y240" s="89"/>
      <c r="Z240" s="89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</row>
    <row r="241" spans="1:38" s="90" customFormat="1" hidden="1">
      <c r="A241" s="354">
        <v>45431</v>
      </c>
      <c r="B241" s="72" t="s">
        <v>591</v>
      </c>
      <c r="C241" s="93">
        <v>-989500</v>
      </c>
      <c r="D241" s="142" t="s">
        <v>454</v>
      </c>
      <c r="E241" s="142"/>
      <c r="F241" s="142"/>
      <c r="G241" s="86"/>
      <c r="H241" s="86">
        <f>C241</f>
        <v>-989500</v>
      </c>
      <c r="I241" s="86"/>
      <c r="J241" s="86"/>
      <c r="K241" s="86"/>
      <c r="L241" s="86"/>
      <c r="M241" s="86"/>
      <c r="N241" s="86"/>
      <c r="O241" s="86"/>
      <c r="P241" s="86"/>
      <c r="Q241" s="86"/>
      <c r="R241" s="89"/>
      <c r="S241" s="89"/>
      <c r="T241" s="89"/>
      <c r="U241" s="89"/>
      <c r="V241" s="89"/>
      <c r="W241" s="89"/>
      <c r="X241" s="89"/>
      <c r="Y241" s="89"/>
      <c r="Z241" s="89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</row>
    <row r="242" spans="1:38" s="90" customFormat="1" hidden="1">
      <c r="A242" s="354">
        <v>45431</v>
      </c>
      <c r="B242" s="72" t="s">
        <v>1084</v>
      </c>
      <c r="C242" s="93">
        <v>-80000</v>
      </c>
      <c r="D242" s="142" t="s">
        <v>453</v>
      </c>
      <c r="E242" s="142"/>
      <c r="F242" s="142"/>
      <c r="G242" s="86"/>
      <c r="H242" s="86"/>
      <c r="I242" s="86"/>
      <c r="J242" s="86"/>
      <c r="K242" s="86">
        <f>C242</f>
        <v>-80000</v>
      </c>
      <c r="L242" s="86"/>
      <c r="M242" s="86"/>
      <c r="N242" s="86"/>
      <c r="O242" s="86"/>
      <c r="P242" s="86"/>
      <c r="Q242" s="86"/>
      <c r="R242" s="89"/>
      <c r="S242" s="89"/>
      <c r="T242" s="89"/>
      <c r="U242" s="89"/>
      <c r="V242" s="89"/>
      <c r="W242" s="89"/>
      <c r="X242" s="89"/>
      <c r="Y242" s="89"/>
      <c r="Z242" s="89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</row>
    <row r="243" spans="1:38" s="90" customFormat="1" hidden="1">
      <c r="A243" s="354">
        <v>45431</v>
      </c>
      <c r="B243" s="72" t="s">
        <v>1085</v>
      </c>
      <c r="C243" s="93">
        <v>-200000</v>
      </c>
      <c r="D243" s="142" t="s">
        <v>453</v>
      </c>
      <c r="E243" s="142"/>
      <c r="F243" s="142"/>
      <c r="G243" s="86"/>
      <c r="H243" s="86"/>
      <c r="I243" s="86"/>
      <c r="J243" s="86"/>
      <c r="K243" s="86">
        <f>C243</f>
        <v>-200000</v>
      </c>
      <c r="L243" s="86"/>
      <c r="M243" s="86"/>
      <c r="N243" s="86"/>
      <c r="O243" s="86"/>
      <c r="P243" s="86"/>
      <c r="Q243" s="86"/>
      <c r="R243" s="89"/>
      <c r="S243" s="89"/>
      <c r="T243" s="89"/>
      <c r="U243" s="89"/>
      <c r="V243" s="89"/>
      <c r="W243" s="89"/>
      <c r="X243" s="89"/>
      <c r="Y243" s="89"/>
      <c r="Z243" s="89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</row>
    <row r="244" spans="1:38" s="90" customFormat="1" hidden="1">
      <c r="A244" s="354">
        <v>45431</v>
      </c>
      <c r="B244" s="72" t="s">
        <v>584</v>
      </c>
      <c r="C244" s="93">
        <v>-112000</v>
      </c>
      <c r="D244" s="142" t="s">
        <v>454</v>
      </c>
      <c r="E244" s="142"/>
      <c r="F244" s="142"/>
      <c r="G244" s="86"/>
      <c r="H244" s="86">
        <f>C244</f>
        <v>-112000</v>
      </c>
      <c r="I244" s="86"/>
      <c r="J244" s="86"/>
      <c r="K244" s="86"/>
      <c r="L244" s="86"/>
      <c r="M244" s="86"/>
      <c r="N244" s="86"/>
      <c r="O244" s="86"/>
      <c r="P244" s="86"/>
      <c r="Q244" s="86"/>
      <c r="R244" s="89"/>
      <c r="S244" s="89"/>
      <c r="T244" s="89"/>
      <c r="U244" s="89"/>
      <c r="V244" s="89"/>
      <c r="W244" s="89"/>
      <c r="X244" s="89"/>
      <c r="Y244" s="89"/>
      <c r="Z244" s="89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</row>
    <row r="245" spans="1:38" s="90" customFormat="1" hidden="1">
      <c r="A245" s="354">
        <v>45431</v>
      </c>
      <c r="B245" s="72" t="s">
        <v>1087</v>
      </c>
      <c r="C245" s="93">
        <v>-65000</v>
      </c>
      <c r="D245" s="142" t="s">
        <v>25</v>
      </c>
      <c r="E245" s="142"/>
      <c r="F245" s="142"/>
      <c r="G245" s="86">
        <f>C245</f>
        <v>-65000</v>
      </c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9"/>
      <c r="S245" s="89"/>
      <c r="T245" s="89"/>
      <c r="U245" s="89"/>
      <c r="V245" s="89"/>
      <c r="W245" s="89"/>
      <c r="X245" s="89"/>
      <c r="Y245" s="89"/>
      <c r="Z245" s="89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</row>
    <row r="246" spans="1:38" s="90" customFormat="1" hidden="1">
      <c r="A246" s="354">
        <v>45431</v>
      </c>
      <c r="B246" s="72" t="s">
        <v>1088</v>
      </c>
      <c r="C246" s="93">
        <v>-22840</v>
      </c>
      <c r="D246" s="142" t="s">
        <v>492</v>
      </c>
      <c r="E246" s="142"/>
      <c r="F246" s="142"/>
      <c r="G246" s="86"/>
      <c r="H246" s="86"/>
      <c r="I246" s="86"/>
      <c r="J246" s="86"/>
      <c r="K246" s="86"/>
      <c r="L246" s="86">
        <f>C246</f>
        <v>-22840</v>
      </c>
      <c r="M246" s="86"/>
      <c r="N246" s="86"/>
      <c r="O246" s="86"/>
      <c r="P246" s="86"/>
      <c r="Q246" s="86"/>
      <c r="R246" s="89"/>
      <c r="S246" s="89"/>
      <c r="T246" s="89"/>
      <c r="U246" s="89"/>
      <c r="V246" s="89"/>
      <c r="W246" s="89"/>
      <c r="X246" s="89"/>
      <c r="Y246" s="89"/>
      <c r="Z246" s="89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</row>
    <row r="247" spans="1:38" s="90" customFormat="1" hidden="1">
      <c r="A247" s="354">
        <v>45431</v>
      </c>
      <c r="B247" s="72" t="s">
        <v>601</v>
      </c>
      <c r="C247" s="93">
        <v>-60000</v>
      </c>
      <c r="D247" s="142" t="s">
        <v>607</v>
      </c>
      <c r="E247" s="142"/>
      <c r="F247" s="142"/>
      <c r="G247" s="86"/>
      <c r="H247" s="86"/>
      <c r="I247" s="86"/>
      <c r="J247" s="86">
        <f>C247</f>
        <v>-60000</v>
      </c>
      <c r="K247" s="86"/>
      <c r="L247" s="86"/>
      <c r="M247" s="86"/>
      <c r="N247" s="86"/>
      <c r="O247" s="86"/>
      <c r="P247" s="86"/>
      <c r="Q247" s="86"/>
      <c r="R247" s="89"/>
      <c r="S247" s="89"/>
      <c r="T247" s="89"/>
      <c r="U247" s="89"/>
      <c r="V247" s="89"/>
      <c r="W247" s="89"/>
      <c r="X247" s="89"/>
      <c r="Y247" s="89"/>
      <c r="Z247" s="89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</row>
    <row r="248" spans="1:38" s="90" customFormat="1" hidden="1">
      <c r="A248" s="354">
        <v>45431</v>
      </c>
      <c r="B248" s="72" t="s">
        <v>1091</v>
      </c>
      <c r="C248" s="93">
        <v>-3600000</v>
      </c>
      <c r="D248" s="142" t="s">
        <v>233</v>
      </c>
      <c r="E248" s="142"/>
      <c r="F248" s="142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9"/>
      <c r="S248" s="89"/>
      <c r="T248" s="89"/>
      <c r="U248" s="89"/>
      <c r="V248" s="89"/>
      <c r="W248" s="89"/>
      <c r="X248" s="89"/>
      <c r="Y248" s="89"/>
      <c r="Z248" s="89"/>
      <c r="AA248" s="86"/>
      <c r="AB248" s="86"/>
      <c r="AC248" s="86"/>
      <c r="AD248" s="86"/>
      <c r="AE248" s="86"/>
      <c r="AF248" s="86">
        <f>C248</f>
        <v>-3600000</v>
      </c>
      <c r="AG248" s="86"/>
      <c r="AH248" s="86"/>
      <c r="AI248" s="86"/>
      <c r="AJ248" s="86"/>
      <c r="AK248" s="86"/>
      <c r="AL248" s="86"/>
    </row>
    <row r="249" spans="1:38" s="90" customFormat="1" hidden="1">
      <c r="A249" s="354">
        <v>45431</v>
      </c>
      <c r="B249" s="72" t="s">
        <v>1093</v>
      </c>
      <c r="C249" s="93">
        <v>-10000</v>
      </c>
      <c r="D249" s="142" t="s">
        <v>454</v>
      </c>
      <c r="E249" s="142"/>
      <c r="F249" s="142"/>
      <c r="G249" s="86"/>
      <c r="H249" s="86">
        <f>C249</f>
        <v>-10000</v>
      </c>
      <c r="I249" s="86"/>
      <c r="J249" s="86"/>
      <c r="K249" s="86"/>
      <c r="L249" s="86"/>
      <c r="M249" s="86"/>
      <c r="N249" s="86"/>
      <c r="O249" s="86"/>
      <c r="P249" s="86"/>
      <c r="Q249" s="86"/>
      <c r="R249" s="89"/>
      <c r="S249" s="89"/>
      <c r="T249" s="89"/>
      <c r="U249" s="89"/>
      <c r="V249" s="89"/>
      <c r="W249" s="89"/>
      <c r="X249" s="89"/>
      <c r="Y249" s="89"/>
      <c r="Z249" s="89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</row>
    <row r="250" spans="1:38" s="90" customFormat="1" hidden="1">
      <c r="A250" s="354">
        <v>45431</v>
      </c>
      <c r="B250" s="72" t="s">
        <v>600</v>
      </c>
      <c r="C250" s="93">
        <v>-77000</v>
      </c>
      <c r="D250" s="142" t="s">
        <v>134</v>
      </c>
      <c r="E250" s="142"/>
      <c r="F250" s="142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9"/>
      <c r="S250" s="89"/>
      <c r="T250" s="89"/>
      <c r="U250" s="89"/>
      <c r="V250" s="89"/>
      <c r="W250" s="89"/>
      <c r="X250" s="89"/>
      <c r="Y250" s="89"/>
      <c r="Z250" s="89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>
        <f>C250</f>
        <v>-77000</v>
      </c>
      <c r="AL250" s="86"/>
    </row>
    <row r="251" spans="1:38" s="90" customFormat="1" hidden="1">
      <c r="A251" s="354">
        <v>45432</v>
      </c>
      <c r="B251" s="72" t="s">
        <v>577</v>
      </c>
      <c r="C251" s="93">
        <v>-11000</v>
      </c>
      <c r="D251" s="142" t="s">
        <v>453</v>
      </c>
      <c r="E251" s="142"/>
      <c r="F251" s="142"/>
      <c r="G251" s="86"/>
      <c r="H251" s="86"/>
      <c r="I251" s="86"/>
      <c r="J251" s="86"/>
      <c r="K251" s="86">
        <f>C251</f>
        <v>-11000</v>
      </c>
      <c r="L251" s="86"/>
      <c r="M251" s="86"/>
      <c r="N251" s="86"/>
      <c r="O251" s="86"/>
      <c r="P251" s="86"/>
      <c r="Q251" s="86"/>
      <c r="R251" s="89"/>
      <c r="S251" s="89"/>
      <c r="T251" s="89"/>
      <c r="U251" s="89"/>
      <c r="V251" s="89"/>
      <c r="W251" s="89"/>
      <c r="X251" s="89"/>
      <c r="Y251" s="89"/>
      <c r="Z251" s="89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</row>
    <row r="252" spans="1:38" s="90" customFormat="1" hidden="1">
      <c r="A252" s="354">
        <v>45432</v>
      </c>
      <c r="B252" s="72" t="s">
        <v>591</v>
      </c>
      <c r="C252" s="93">
        <v>-1242000</v>
      </c>
      <c r="D252" s="142" t="s">
        <v>454</v>
      </c>
      <c r="E252" s="142"/>
      <c r="F252" s="142"/>
      <c r="G252" s="86"/>
      <c r="H252" s="86">
        <f>C252</f>
        <v>-1242000</v>
      </c>
      <c r="I252" s="86"/>
      <c r="J252" s="86"/>
      <c r="K252" s="86"/>
      <c r="L252" s="86"/>
      <c r="M252" s="86"/>
      <c r="N252" s="86"/>
      <c r="O252" s="86"/>
      <c r="P252" s="86"/>
      <c r="Q252" s="86"/>
      <c r="R252" s="89"/>
      <c r="S252" s="89"/>
      <c r="T252" s="89"/>
      <c r="U252" s="89"/>
      <c r="V252" s="89"/>
      <c r="W252" s="89"/>
      <c r="X252" s="89"/>
      <c r="Y252" s="89"/>
      <c r="Z252" s="89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</row>
    <row r="253" spans="1:38" s="90" customFormat="1" hidden="1">
      <c r="A253" s="354">
        <v>45432</v>
      </c>
      <c r="B253" s="72" t="s">
        <v>591</v>
      </c>
      <c r="C253" s="93">
        <v>-736000</v>
      </c>
      <c r="D253" s="142" t="s">
        <v>454</v>
      </c>
      <c r="E253" s="142"/>
      <c r="F253" s="142"/>
      <c r="G253" s="86"/>
      <c r="H253" s="86">
        <f>C253</f>
        <v>-736000</v>
      </c>
      <c r="I253" s="86"/>
      <c r="J253" s="86"/>
      <c r="K253" s="86"/>
      <c r="L253" s="86"/>
      <c r="M253" s="86"/>
      <c r="N253" s="86"/>
      <c r="O253" s="86"/>
      <c r="P253" s="86"/>
      <c r="Q253" s="86"/>
      <c r="R253" s="89"/>
      <c r="S253" s="89"/>
      <c r="T253" s="89"/>
      <c r="U253" s="89"/>
      <c r="V253" s="89"/>
      <c r="W253" s="89"/>
      <c r="X253" s="89"/>
      <c r="Y253" s="89"/>
      <c r="Z253" s="89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</row>
    <row r="254" spans="1:38" s="90" customFormat="1" hidden="1">
      <c r="A254" s="354">
        <v>45432</v>
      </c>
      <c r="B254" s="72" t="s">
        <v>1096</v>
      </c>
      <c r="C254" s="93">
        <v>-65000</v>
      </c>
      <c r="D254" s="142" t="s">
        <v>25</v>
      </c>
      <c r="E254" s="142"/>
      <c r="F254" s="142"/>
      <c r="G254" s="86">
        <f>C254</f>
        <v>-65000</v>
      </c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9"/>
      <c r="S254" s="89"/>
      <c r="T254" s="89"/>
      <c r="U254" s="89"/>
      <c r="V254" s="89"/>
      <c r="W254" s="89"/>
      <c r="X254" s="89"/>
      <c r="Y254" s="89"/>
      <c r="Z254" s="89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</row>
    <row r="255" spans="1:38" s="90" customFormat="1" hidden="1">
      <c r="A255" s="354">
        <v>45432</v>
      </c>
      <c r="B255" s="72" t="s">
        <v>1097</v>
      </c>
      <c r="C255" s="93">
        <v>-340000</v>
      </c>
      <c r="D255" s="142" t="s">
        <v>454</v>
      </c>
      <c r="E255" s="142"/>
      <c r="F255" s="142"/>
      <c r="G255" s="86"/>
      <c r="H255" s="86">
        <f>C255</f>
        <v>-340000</v>
      </c>
      <c r="I255" s="86"/>
      <c r="J255" s="86"/>
      <c r="K255" s="86"/>
      <c r="L255" s="86"/>
      <c r="M255" s="86"/>
      <c r="N255" s="86"/>
      <c r="O255" s="86"/>
      <c r="P255" s="86"/>
      <c r="Q255" s="86"/>
      <c r="R255" s="89"/>
      <c r="S255" s="89"/>
      <c r="T255" s="89"/>
      <c r="U255" s="89"/>
      <c r="V255" s="89"/>
      <c r="W255" s="89"/>
      <c r="X255" s="89"/>
      <c r="Y255" s="89"/>
      <c r="Z255" s="89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</row>
    <row r="256" spans="1:38" s="90" customFormat="1" hidden="1">
      <c r="A256" s="354">
        <v>45432</v>
      </c>
      <c r="B256" s="72" t="s">
        <v>1098</v>
      </c>
      <c r="C256" s="93">
        <v>-433000</v>
      </c>
      <c r="D256" s="142" t="s">
        <v>454</v>
      </c>
      <c r="E256" s="142"/>
      <c r="F256" s="142"/>
      <c r="G256" s="86"/>
      <c r="H256" s="86">
        <f>C256</f>
        <v>-433000</v>
      </c>
      <c r="I256" s="86"/>
      <c r="J256" s="86"/>
      <c r="K256" s="86"/>
      <c r="L256" s="86"/>
      <c r="M256" s="86"/>
      <c r="N256" s="86"/>
      <c r="O256" s="86"/>
      <c r="P256" s="86"/>
      <c r="Q256" s="86"/>
      <c r="R256" s="89"/>
      <c r="S256" s="89"/>
      <c r="T256" s="89"/>
      <c r="U256" s="89"/>
      <c r="V256" s="89"/>
      <c r="W256" s="89"/>
      <c r="X256" s="89"/>
      <c r="Y256" s="89"/>
      <c r="Z256" s="89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</row>
    <row r="257" spans="1:38" s="90" customFormat="1" hidden="1">
      <c r="A257" s="354">
        <v>45432</v>
      </c>
      <c r="B257" s="72" t="s">
        <v>1100</v>
      </c>
      <c r="C257" s="93">
        <v>-250000</v>
      </c>
      <c r="D257" s="142" t="s">
        <v>455</v>
      </c>
      <c r="E257" s="142"/>
      <c r="F257" s="142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9"/>
      <c r="S257" s="89"/>
      <c r="T257" s="89"/>
      <c r="U257" s="89"/>
      <c r="V257" s="89"/>
      <c r="W257" s="89"/>
      <c r="X257" s="89"/>
      <c r="Y257" s="89"/>
      <c r="Z257" s="89"/>
      <c r="AA257" s="86"/>
      <c r="AB257" s="86"/>
      <c r="AC257" s="86"/>
      <c r="AD257" s="86"/>
      <c r="AE257" s="86"/>
      <c r="AF257" s="86"/>
      <c r="AG257" s="86">
        <f>C257</f>
        <v>-250000</v>
      </c>
      <c r="AH257" s="86"/>
      <c r="AI257" s="86"/>
      <c r="AJ257" s="86"/>
      <c r="AK257" s="86"/>
      <c r="AL257" s="86"/>
    </row>
    <row r="258" spans="1:38" s="90" customFormat="1" hidden="1">
      <c r="A258" s="354">
        <v>45432</v>
      </c>
      <c r="B258" s="72" t="s">
        <v>589</v>
      </c>
      <c r="C258" s="93">
        <v>-582000</v>
      </c>
      <c r="D258" s="142" t="s">
        <v>607</v>
      </c>
      <c r="E258" s="142"/>
      <c r="F258" s="142"/>
      <c r="G258" s="86"/>
      <c r="H258" s="86"/>
      <c r="I258" s="86"/>
      <c r="J258" s="86">
        <f>C258</f>
        <v>-582000</v>
      </c>
      <c r="K258" s="86"/>
      <c r="L258" s="86"/>
      <c r="M258" s="86"/>
      <c r="N258" s="86"/>
      <c r="O258" s="86"/>
      <c r="P258" s="86"/>
      <c r="Q258" s="86"/>
      <c r="R258" s="89"/>
      <c r="S258" s="89"/>
      <c r="T258" s="89"/>
      <c r="U258" s="89"/>
      <c r="V258" s="89"/>
      <c r="W258" s="89"/>
      <c r="X258" s="89"/>
      <c r="Y258" s="89"/>
      <c r="Z258" s="89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</row>
    <row r="259" spans="1:38" s="90" customFormat="1" hidden="1">
      <c r="A259" s="354">
        <v>45432</v>
      </c>
      <c r="B259" s="72" t="s">
        <v>589</v>
      </c>
      <c r="C259" s="93">
        <v>-380000</v>
      </c>
      <c r="D259" s="142" t="s">
        <v>607</v>
      </c>
      <c r="E259" s="142"/>
      <c r="F259" s="142"/>
      <c r="G259" s="86"/>
      <c r="H259" s="86"/>
      <c r="I259" s="86"/>
      <c r="J259" s="86">
        <f>C259</f>
        <v>-380000</v>
      </c>
      <c r="K259" s="86"/>
      <c r="L259" s="86"/>
      <c r="M259" s="86"/>
      <c r="N259" s="86"/>
      <c r="O259" s="86"/>
      <c r="P259" s="86"/>
      <c r="Q259" s="86"/>
      <c r="R259" s="89"/>
      <c r="S259" s="89"/>
      <c r="T259" s="89"/>
      <c r="U259" s="89"/>
      <c r="V259" s="89"/>
      <c r="W259" s="89"/>
      <c r="X259" s="89"/>
      <c r="Y259" s="89"/>
      <c r="Z259" s="89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</row>
    <row r="260" spans="1:38" s="90" customFormat="1" hidden="1">
      <c r="A260" s="354">
        <v>45432</v>
      </c>
      <c r="B260" s="72" t="s">
        <v>1102</v>
      </c>
      <c r="C260" s="93">
        <v>-75000</v>
      </c>
      <c r="D260" s="142" t="s">
        <v>25</v>
      </c>
      <c r="E260" s="142"/>
      <c r="F260" s="142"/>
      <c r="G260" s="86">
        <f>C260</f>
        <v>-75000</v>
      </c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9"/>
      <c r="S260" s="89"/>
      <c r="T260" s="89"/>
      <c r="U260" s="89"/>
      <c r="V260" s="89"/>
      <c r="W260" s="89"/>
      <c r="X260" s="89"/>
      <c r="Y260" s="89"/>
      <c r="Z260" s="89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</row>
    <row r="261" spans="1:38" s="90" customFormat="1" hidden="1">
      <c r="A261" s="354">
        <v>45432</v>
      </c>
      <c r="B261" s="72" t="s">
        <v>1104</v>
      </c>
      <c r="C261" s="93">
        <v>-30000</v>
      </c>
      <c r="D261" s="142" t="s">
        <v>492</v>
      </c>
      <c r="E261" s="142"/>
      <c r="F261" s="142"/>
      <c r="G261" s="86"/>
      <c r="H261" s="86"/>
      <c r="I261" s="86"/>
      <c r="J261" s="86"/>
      <c r="K261" s="86"/>
      <c r="L261" s="86">
        <f>C261</f>
        <v>-30000</v>
      </c>
      <c r="M261" s="86"/>
      <c r="N261" s="86"/>
      <c r="O261" s="86"/>
      <c r="P261" s="86"/>
      <c r="Q261" s="86"/>
      <c r="R261" s="89"/>
      <c r="S261" s="89"/>
      <c r="T261" s="89"/>
      <c r="U261" s="89"/>
      <c r="V261" s="89"/>
      <c r="W261" s="89"/>
      <c r="X261" s="89"/>
      <c r="Y261" s="89"/>
      <c r="Z261" s="89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</row>
    <row r="262" spans="1:38" s="90" customFormat="1" hidden="1">
      <c r="A262" s="354">
        <v>45432</v>
      </c>
      <c r="B262" s="72" t="s">
        <v>884</v>
      </c>
      <c r="C262" s="93">
        <v>-251000</v>
      </c>
      <c r="D262" s="142" t="s">
        <v>454</v>
      </c>
      <c r="E262" s="142"/>
      <c r="F262" s="142"/>
      <c r="G262" s="86"/>
      <c r="H262" s="86">
        <f>C262</f>
        <v>-251000</v>
      </c>
      <c r="I262" s="86"/>
      <c r="J262" s="86"/>
      <c r="K262" s="86"/>
      <c r="L262" s="86"/>
      <c r="M262" s="86"/>
      <c r="N262" s="86"/>
      <c r="O262" s="86"/>
      <c r="P262" s="86"/>
      <c r="Q262" s="86"/>
      <c r="R262" s="89"/>
      <c r="S262" s="89"/>
      <c r="T262" s="89"/>
      <c r="U262" s="89"/>
      <c r="V262" s="89"/>
      <c r="W262" s="89"/>
      <c r="X262" s="89"/>
      <c r="Y262" s="89"/>
      <c r="Z262" s="89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</row>
    <row r="263" spans="1:38" s="90" customFormat="1" hidden="1">
      <c r="A263" s="354">
        <v>45432</v>
      </c>
      <c r="B263" s="72" t="s">
        <v>593</v>
      </c>
      <c r="C263" s="93">
        <v>-82500</v>
      </c>
      <c r="D263" s="142" t="s">
        <v>27</v>
      </c>
      <c r="E263" s="142"/>
      <c r="F263" s="142"/>
      <c r="G263" s="86"/>
      <c r="H263" s="86"/>
      <c r="I263" s="86">
        <f>C263</f>
        <v>-82500</v>
      </c>
      <c r="J263" s="86"/>
      <c r="K263" s="86"/>
      <c r="L263" s="86"/>
      <c r="M263" s="86"/>
      <c r="N263" s="86"/>
      <c r="O263" s="86"/>
      <c r="P263" s="86"/>
      <c r="Q263" s="86"/>
      <c r="R263" s="89"/>
      <c r="S263" s="89"/>
      <c r="T263" s="89"/>
      <c r="U263" s="89"/>
      <c r="V263" s="89"/>
      <c r="W263" s="89"/>
      <c r="X263" s="89"/>
      <c r="Y263" s="89"/>
      <c r="Z263" s="89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</row>
    <row r="264" spans="1:38" s="90" customFormat="1" hidden="1">
      <c r="A264" s="354">
        <v>45433</v>
      </c>
      <c r="B264" s="456" t="s">
        <v>577</v>
      </c>
      <c r="C264" s="93">
        <v>-11000</v>
      </c>
      <c r="D264" s="142" t="s">
        <v>453</v>
      </c>
      <c r="E264" s="142"/>
      <c r="F264" s="142"/>
      <c r="G264" s="86"/>
      <c r="H264" s="86"/>
      <c r="I264" s="86"/>
      <c r="J264" s="86"/>
      <c r="K264" s="86">
        <f>C264</f>
        <v>-11000</v>
      </c>
      <c r="L264" s="86"/>
      <c r="M264" s="86"/>
      <c r="N264" s="86"/>
      <c r="O264" s="86"/>
      <c r="P264" s="86"/>
      <c r="Q264" s="86"/>
      <c r="R264" s="89"/>
      <c r="S264" s="89"/>
      <c r="T264" s="89"/>
      <c r="U264" s="89"/>
      <c r="V264" s="89"/>
      <c r="W264" s="89"/>
      <c r="X264" s="89"/>
      <c r="Y264" s="89"/>
      <c r="Z264" s="89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</row>
    <row r="265" spans="1:38" s="90" customFormat="1" hidden="1">
      <c r="A265" s="354">
        <v>45433</v>
      </c>
      <c r="B265" s="456" t="s">
        <v>1219</v>
      </c>
      <c r="C265" s="93">
        <v>-160000</v>
      </c>
      <c r="D265" s="142" t="s">
        <v>453</v>
      </c>
      <c r="E265" s="142"/>
      <c r="F265" s="142"/>
      <c r="G265" s="86"/>
      <c r="H265" s="86"/>
      <c r="I265" s="86"/>
      <c r="J265" s="86"/>
      <c r="K265" s="86">
        <f>C265</f>
        <v>-160000</v>
      </c>
      <c r="L265" s="86"/>
      <c r="M265" s="86"/>
      <c r="N265" s="86"/>
      <c r="O265" s="86"/>
      <c r="P265" s="86"/>
      <c r="Q265" s="86"/>
      <c r="R265" s="89"/>
      <c r="S265" s="89"/>
      <c r="T265" s="89"/>
      <c r="U265" s="89"/>
      <c r="V265" s="89"/>
      <c r="W265" s="89"/>
      <c r="X265" s="89"/>
      <c r="Y265" s="89"/>
      <c r="Z265" s="89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</row>
    <row r="266" spans="1:38" s="90" customFormat="1" hidden="1">
      <c r="A266" s="354">
        <v>45433</v>
      </c>
      <c r="B266" s="456" t="s">
        <v>584</v>
      </c>
      <c r="C266" s="93">
        <v>-448000</v>
      </c>
      <c r="D266" s="142" t="s">
        <v>454</v>
      </c>
      <c r="E266" s="142"/>
      <c r="F266" s="142"/>
      <c r="G266" s="86"/>
      <c r="H266" s="86">
        <f>C266</f>
        <v>-448000</v>
      </c>
      <c r="I266" s="86"/>
      <c r="J266" s="86"/>
      <c r="K266" s="86"/>
      <c r="L266" s="86"/>
      <c r="M266" s="86"/>
      <c r="N266" s="86"/>
      <c r="O266" s="86"/>
      <c r="P266" s="86"/>
      <c r="Q266" s="86"/>
      <c r="R266" s="89"/>
      <c r="S266" s="89"/>
      <c r="T266" s="89"/>
      <c r="U266" s="89"/>
      <c r="V266" s="89"/>
      <c r="W266" s="89"/>
      <c r="X266" s="89"/>
      <c r="Y266" s="89"/>
      <c r="Z266" s="89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</row>
    <row r="267" spans="1:38" s="90" customFormat="1" hidden="1">
      <c r="A267" s="354">
        <v>45433</v>
      </c>
      <c r="B267" s="456" t="s">
        <v>1221</v>
      </c>
      <c r="C267" s="93">
        <v>-65000</v>
      </c>
      <c r="D267" s="142" t="s">
        <v>25</v>
      </c>
      <c r="E267" s="142"/>
      <c r="F267" s="142"/>
      <c r="G267" s="86">
        <f>C267</f>
        <v>-65000</v>
      </c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9"/>
      <c r="S267" s="89"/>
      <c r="T267" s="89"/>
      <c r="U267" s="89"/>
      <c r="V267" s="89"/>
      <c r="W267" s="89"/>
      <c r="X267" s="89"/>
      <c r="Y267" s="89"/>
      <c r="Z267" s="89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</row>
    <row r="268" spans="1:38" s="90" customFormat="1" hidden="1">
      <c r="A268" s="354">
        <v>45433</v>
      </c>
      <c r="B268" s="456" t="s">
        <v>589</v>
      </c>
      <c r="C268" s="93">
        <v>-380000</v>
      </c>
      <c r="D268" s="142" t="s">
        <v>607</v>
      </c>
      <c r="E268" s="142"/>
      <c r="F268" s="142"/>
      <c r="G268" s="86"/>
      <c r="H268" s="86"/>
      <c r="I268" s="86"/>
      <c r="J268" s="86">
        <f>C268</f>
        <v>-380000</v>
      </c>
      <c r="K268" s="86"/>
      <c r="L268" s="86"/>
      <c r="M268" s="86"/>
      <c r="N268" s="86"/>
      <c r="O268" s="86"/>
      <c r="P268" s="86"/>
      <c r="Q268" s="86"/>
      <c r="R268" s="89"/>
      <c r="S268" s="89"/>
      <c r="T268" s="89"/>
      <c r="U268" s="89"/>
      <c r="V268" s="89"/>
      <c r="W268" s="89"/>
      <c r="X268" s="89"/>
      <c r="Y268" s="89"/>
      <c r="Z268" s="89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</row>
    <row r="269" spans="1:38" s="90" customFormat="1" hidden="1">
      <c r="A269" s="354">
        <v>45433</v>
      </c>
      <c r="B269" s="456" t="s">
        <v>579</v>
      </c>
      <c r="C269" s="93">
        <v>-335000</v>
      </c>
      <c r="D269" s="142" t="s">
        <v>454</v>
      </c>
      <c r="E269" s="142"/>
      <c r="F269" s="142"/>
      <c r="G269" s="86"/>
      <c r="H269" s="86">
        <f>C269</f>
        <v>-335000</v>
      </c>
      <c r="I269" s="86"/>
      <c r="J269" s="86"/>
      <c r="K269" s="86"/>
      <c r="L269" s="86"/>
      <c r="M269" s="86"/>
      <c r="N269" s="86"/>
      <c r="O269" s="86"/>
      <c r="P269" s="86"/>
      <c r="Q269" s="86"/>
      <c r="R269" s="89"/>
      <c r="S269" s="89"/>
      <c r="T269" s="89"/>
      <c r="U269" s="89"/>
      <c r="V269" s="89"/>
      <c r="W269" s="89"/>
      <c r="X269" s="89"/>
      <c r="Y269" s="89"/>
      <c r="Z269" s="89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</row>
    <row r="270" spans="1:38" s="90" customFormat="1" hidden="1">
      <c r="A270" s="354">
        <v>45433</v>
      </c>
      <c r="B270" s="456" t="s">
        <v>1223</v>
      </c>
      <c r="C270" s="93">
        <v>-105000</v>
      </c>
      <c r="D270" s="142" t="s">
        <v>27</v>
      </c>
      <c r="E270" s="142"/>
      <c r="F270" s="142"/>
      <c r="G270" s="86"/>
      <c r="H270" s="86"/>
      <c r="I270" s="86">
        <f>C270</f>
        <v>-105000</v>
      </c>
      <c r="J270" s="86"/>
      <c r="K270" s="86"/>
      <c r="L270" s="86"/>
      <c r="M270" s="86"/>
      <c r="N270" s="86"/>
      <c r="O270" s="86"/>
      <c r="P270" s="86"/>
      <c r="Q270" s="86"/>
      <c r="R270" s="89"/>
      <c r="S270" s="89"/>
      <c r="T270" s="89"/>
      <c r="U270" s="89"/>
      <c r="V270" s="89"/>
      <c r="W270" s="89"/>
      <c r="X270" s="89"/>
      <c r="Y270" s="89"/>
      <c r="Z270" s="89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</row>
    <row r="271" spans="1:38" s="90" customFormat="1" hidden="1">
      <c r="A271" s="354">
        <v>45433</v>
      </c>
      <c r="B271" s="456" t="s">
        <v>589</v>
      </c>
      <c r="C271" s="93">
        <v>-113500</v>
      </c>
      <c r="D271" s="142" t="s">
        <v>607</v>
      </c>
      <c r="E271" s="142"/>
      <c r="F271" s="142"/>
      <c r="G271" s="86"/>
      <c r="H271" s="86"/>
      <c r="I271" s="86"/>
      <c r="J271" s="86">
        <f>C271</f>
        <v>-113500</v>
      </c>
      <c r="K271" s="86"/>
      <c r="L271" s="86"/>
      <c r="M271" s="86"/>
      <c r="N271" s="86"/>
      <c r="O271" s="86"/>
      <c r="P271" s="86"/>
      <c r="Q271" s="86"/>
      <c r="R271" s="89"/>
      <c r="S271" s="89"/>
      <c r="T271" s="89"/>
      <c r="U271" s="89"/>
      <c r="V271" s="89"/>
      <c r="W271" s="89"/>
      <c r="X271" s="89"/>
      <c r="Y271" s="89"/>
      <c r="Z271" s="89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</row>
    <row r="272" spans="1:38" s="90" customFormat="1" hidden="1">
      <c r="A272" s="354">
        <v>45433</v>
      </c>
      <c r="B272" s="456" t="s">
        <v>1224</v>
      </c>
      <c r="C272" s="93">
        <v>-418000</v>
      </c>
      <c r="D272" s="142" t="s">
        <v>454</v>
      </c>
      <c r="E272" s="142"/>
      <c r="F272" s="142"/>
      <c r="G272" s="86"/>
      <c r="H272" s="86">
        <f>C272</f>
        <v>-418000</v>
      </c>
      <c r="I272" s="86"/>
      <c r="J272" s="86"/>
      <c r="K272" s="86"/>
      <c r="L272" s="86"/>
      <c r="M272" s="86"/>
      <c r="N272" s="86"/>
      <c r="O272" s="86"/>
      <c r="P272" s="86"/>
      <c r="Q272" s="86"/>
      <c r="R272" s="89"/>
      <c r="S272" s="89"/>
      <c r="T272" s="89"/>
      <c r="U272" s="89"/>
      <c r="V272" s="89"/>
      <c r="W272" s="89"/>
      <c r="X272" s="89"/>
      <c r="Y272" s="89"/>
      <c r="Z272" s="89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</row>
    <row r="273" spans="1:38" s="90" customFormat="1" hidden="1">
      <c r="A273" s="354">
        <v>45433</v>
      </c>
      <c r="B273" s="456" t="s">
        <v>591</v>
      </c>
      <c r="C273" s="93">
        <v>-2998500</v>
      </c>
      <c r="D273" s="142" t="s">
        <v>454</v>
      </c>
      <c r="E273" s="142"/>
      <c r="F273" s="142"/>
      <c r="G273" s="86"/>
      <c r="H273" s="86">
        <f>C273</f>
        <v>-2998500</v>
      </c>
      <c r="I273" s="86"/>
      <c r="J273" s="86"/>
      <c r="K273" s="86"/>
      <c r="L273" s="86"/>
      <c r="M273" s="86"/>
      <c r="N273" s="86"/>
      <c r="O273" s="86"/>
      <c r="P273" s="86"/>
      <c r="Q273" s="86"/>
      <c r="R273" s="89"/>
      <c r="S273" s="89"/>
      <c r="T273" s="89"/>
      <c r="U273" s="89"/>
      <c r="V273" s="89"/>
      <c r="W273" s="89"/>
      <c r="X273" s="89"/>
      <c r="Y273" s="89"/>
      <c r="Z273" s="89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</row>
    <row r="274" spans="1:38" s="90" customFormat="1" hidden="1">
      <c r="A274" s="354">
        <v>45433</v>
      </c>
      <c r="B274" s="456" t="s">
        <v>582</v>
      </c>
      <c r="C274" s="93">
        <v>-289500</v>
      </c>
      <c r="D274" s="142" t="s">
        <v>27</v>
      </c>
      <c r="E274" s="142"/>
      <c r="F274" s="142"/>
      <c r="G274" s="86"/>
      <c r="H274" s="86"/>
      <c r="I274" s="86">
        <f>C274</f>
        <v>-289500</v>
      </c>
      <c r="J274" s="86"/>
      <c r="K274" s="86"/>
      <c r="L274" s="86"/>
      <c r="M274" s="86"/>
      <c r="N274" s="86"/>
      <c r="O274" s="86"/>
      <c r="P274" s="86"/>
      <c r="Q274" s="86"/>
      <c r="R274" s="89"/>
      <c r="S274" s="89"/>
      <c r="T274" s="89"/>
      <c r="U274" s="89"/>
      <c r="V274" s="89"/>
      <c r="W274" s="89"/>
      <c r="X274" s="89"/>
      <c r="Y274" s="89"/>
      <c r="Z274" s="89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</row>
    <row r="275" spans="1:38" s="90" customFormat="1" hidden="1">
      <c r="A275" s="354">
        <v>45433</v>
      </c>
      <c r="B275" s="456" t="s">
        <v>1225</v>
      </c>
      <c r="C275" s="93">
        <v>-213200</v>
      </c>
      <c r="D275" s="142" t="s">
        <v>233</v>
      </c>
      <c r="E275" s="142"/>
      <c r="F275" s="142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9"/>
      <c r="S275" s="89"/>
      <c r="T275" s="89"/>
      <c r="U275" s="89"/>
      <c r="V275" s="89"/>
      <c r="W275" s="89"/>
      <c r="X275" s="89"/>
      <c r="Y275" s="89"/>
      <c r="Z275" s="89"/>
      <c r="AA275" s="86"/>
      <c r="AB275" s="86"/>
      <c r="AC275" s="86"/>
      <c r="AD275" s="86"/>
      <c r="AE275" s="86"/>
      <c r="AF275" s="86">
        <f>C275</f>
        <v>-213200</v>
      </c>
      <c r="AG275" s="86"/>
      <c r="AH275" s="86"/>
      <c r="AI275" s="86"/>
      <c r="AJ275" s="86"/>
      <c r="AK275" s="86"/>
      <c r="AL275" s="86"/>
    </row>
    <row r="276" spans="1:38" s="90" customFormat="1" hidden="1">
      <c r="A276" s="354">
        <v>45433</v>
      </c>
      <c r="B276" s="456" t="s">
        <v>1227</v>
      </c>
      <c r="C276" s="93">
        <v>-65000</v>
      </c>
      <c r="D276" s="142" t="s">
        <v>25</v>
      </c>
      <c r="E276" s="142"/>
      <c r="F276" s="142"/>
      <c r="G276" s="86">
        <f>C276</f>
        <v>-65000</v>
      </c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9"/>
      <c r="S276" s="89"/>
      <c r="T276" s="89"/>
      <c r="U276" s="89"/>
      <c r="V276" s="89"/>
      <c r="W276" s="89"/>
      <c r="X276" s="89"/>
      <c r="Y276" s="89"/>
      <c r="Z276" s="89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</row>
    <row r="277" spans="1:38" s="90" customFormat="1" hidden="1">
      <c r="A277" s="354">
        <v>45434</v>
      </c>
      <c r="B277" s="72" t="s">
        <v>1228</v>
      </c>
      <c r="C277" s="93">
        <v>-120000</v>
      </c>
      <c r="D277" s="142" t="s">
        <v>453</v>
      </c>
      <c r="E277" s="142"/>
      <c r="F277" s="142"/>
      <c r="G277" s="86"/>
      <c r="H277" s="86"/>
      <c r="I277" s="86"/>
      <c r="J277" s="86"/>
      <c r="K277" s="86">
        <f>C277</f>
        <v>-120000</v>
      </c>
      <c r="L277" s="86"/>
      <c r="M277" s="86"/>
      <c r="N277" s="86"/>
      <c r="O277" s="86"/>
      <c r="P277" s="86"/>
      <c r="Q277" s="86"/>
      <c r="R277" s="89"/>
      <c r="S277" s="89"/>
      <c r="T277" s="89"/>
      <c r="U277" s="89"/>
      <c r="V277" s="89"/>
      <c r="W277" s="89"/>
      <c r="X277" s="89"/>
      <c r="Y277" s="89"/>
      <c r="Z277" s="89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</row>
    <row r="278" spans="1:38" s="90" customFormat="1" hidden="1">
      <c r="A278" s="354">
        <v>45434</v>
      </c>
      <c r="B278" s="72" t="s">
        <v>577</v>
      </c>
      <c r="C278" s="93">
        <v>-11000</v>
      </c>
      <c r="D278" s="142" t="s">
        <v>453</v>
      </c>
      <c r="E278" s="142"/>
      <c r="F278" s="142"/>
      <c r="G278" s="86"/>
      <c r="H278" s="86"/>
      <c r="I278" s="86"/>
      <c r="J278" s="86"/>
      <c r="K278" s="86">
        <f>C278</f>
        <v>-11000</v>
      </c>
      <c r="L278" s="86"/>
      <c r="M278" s="86"/>
      <c r="N278" s="86"/>
      <c r="O278" s="86"/>
      <c r="P278" s="86"/>
      <c r="Q278" s="86"/>
      <c r="R278" s="89"/>
      <c r="S278" s="89"/>
      <c r="T278" s="89"/>
      <c r="U278" s="89"/>
      <c r="V278" s="89"/>
      <c r="W278" s="89"/>
      <c r="X278" s="89"/>
      <c r="Y278" s="89"/>
      <c r="Z278" s="89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</row>
    <row r="279" spans="1:38" s="90" customFormat="1" hidden="1">
      <c r="A279" s="354">
        <v>45434</v>
      </c>
      <c r="B279" s="72" t="s">
        <v>584</v>
      </c>
      <c r="C279" s="93">
        <v>-1211000</v>
      </c>
      <c r="D279" s="142" t="s">
        <v>454</v>
      </c>
      <c r="E279" s="142"/>
      <c r="F279" s="142"/>
      <c r="G279" s="86"/>
      <c r="H279" s="86">
        <f>C279</f>
        <v>-1211000</v>
      </c>
      <c r="I279" s="86"/>
      <c r="J279" s="86"/>
      <c r="K279" s="86"/>
      <c r="L279" s="86"/>
      <c r="M279" s="86"/>
      <c r="N279" s="86"/>
      <c r="O279" s="86"/>
      <c r="P279" s="86"/>
      <c r="Q279" s="86"/>
      <c r="R279" s="89"/>
      <c r="S279" s="89"/>
      <c r="T279" s="89"/>
      <c r="U279" s="89"/>
      <c r="V279" s="89"/>
      <c r="W279" s="89"/>
      <c r="X279" s="89"/>
      <c r="Y279" s="89"/>
      <c r="Z279" s="89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</row>
    <row r="280" spans="1:38" s="90" customFormat="1" hidden="1">
      <c r="A280" s="354">
        <v>45434</v>
      </c>
      <c r="B280" s="72" t="s">
        <v>591</v>
      </c>
      <c r="C280" s="93">
        <v>-2316000</v>
      </c>
      <c r="D280" s="142" t="s">
        <v>454</v>
      </c>
      <c r="E280" s="142"/>
      <c r="F280" s="142"/>
      <c r="G280" s="86"/>
      <c r="H280" s="86">
        <f>C280</f>
        <v>-2316000</v>
      </c>
      <c r="I280" s="86"/>
      <c r="J280" s="86"/>
      <c r="K280" s="86"/>
      <c r="L280" s="86"/>
      <c r="M280" s="86"/>
      <c r="N280" s="86"/>
      <c r="O280" s="86"/>
      <c r="P280" s="86"/>
      <c r="Q280" s="86"/>
      <c r="R280" s="89"/>
      <c r="S280" s="89"/>
      <c r="T280" s="89"/>
      <c r="U280" s="89"/>
      <c r="V280" s="89"/>
      <c r="W280" s="89"/>
      <c r="X280" s="89"/>
      <c r="Y280" s="89"/>
      <c r="Z280" s="89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</row>
    <row r="281" spans="1:38" s="90" customFormat="1" hidden="1">
      <c r="A281" s="354">
        <v>45434</v>
      </c>
      <c r="B281" s="72" t="s">
        <v>1229</v>
      </c>
      <c r="C281" s="93">
        <v>-65000</v>
      </c>
      <c r="D281" s="142" t="s">
        <v>25</v>
      </c>
      <c r="E281" s="142"/>
      <c r="F281" s="142"/>
      <c r="G281" s="86">
        <f>C281</f>
        <v>-65000</v>
      </c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9"/>
      <c r="S281" s="89"/>
      <c r="T281" s="89"/>
      <c r="U281" s="89"/>
      <c r="V281" s="89"/>
      <c r="W281" s="89"/>
      <c r="X281" s="89"/>
      <c r="Y281" s="89"/>
      <c r="Z281" s="89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</row>
    <row r="282" spans="1:38" s="90" customFormat="1" hidden="1">
      <c r="A282" s="354">
        <v>45434</v>
      </c>
      <c r="B282" s="72" t="s">
        <v>1230</v>
      </c>
      <c r="C282" s="93">
        <v>-65000</v>
      </c>
      <c r="D282" s="142" t="s">
        <v>25</v>
      </c>
      <c r="E282" s="142"/>
      <c r="F282" s="142"/>
      <c r="G282" s="86">
        <f>C282</f>
        <v>-65000</v>
      </c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9"/>
      <c r="S282" s="89"/>
      <c r="T282" s="89"/>
      <c r="U282" s="89"/>
      <c r="V282" s="89"/>
      <c r="W282" s="89"/>
      <c r="X282" s="89"/>
      <c r="Y282" s="89"/>
      <c r="Z282" s="89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</row>
    <row r="283" spans="1:38" s="90" customFormat="1" hidden="1">
      <c r="A283" s="354">
        <v>45434</v>
      </c>
      <c r="B283" s="72" t="s">
        <v>971</v>
      </c>
      <c r="C283" s="93">
        <v>-418000</v>
      </c>
      <c r="D283" s="142" t="s">
        <v>454</v>
      </c>
      <c r="E283" s="142"/>
      <c r="F283" s="142"/>
      <c r="G283" s="86"/>
      <c r="H283" s="86">
        <f>C283</f>
        <v>-418000</v>
      </c>
      <c r="I283" s="86"/>
      <c r="J283" s="86"/>
      <c r="K283" s="86"/>
      <c r="L283" s="86"/>
      <c r="M283" s="86"/>
      <c r="N283" s="86"/>
      <c r="O283" s="86"/>
      <c r="P283" s="86"/>
      <c r="Q283" s="86"/>
      <c r="R283" s="89"/>
      <c r="S283" s="89"/>
      <c r="T283" s="89"/>
      <c r="U283" s="89"/>
      <c r="V283" s="89"/>
      <c r="W283" s="89"/>
      <c r="X283" s="89"/>
      <c r="Y283" s="89"/>
      <c r="Z283" s="89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</row>
    <row r="284" spans="1:38" s="90" customFormat="1" hidden="1">
      <c r="A284" s="354">
        <v>45434</v>
      </c>
      <c r="B284" s="72" t="s">
        <v>1233</v>
      </c>
      <c r="C284" s="93">
        <v>-505000</v>
      </c>
      <c r="D284" s="142" t="s">
        <v>454</v>
      </c>
      <c r="E284" s="142"/>
      <c r="F284" s="142"/>
      <c r="G284" s="86"/>
      <c r="H284" s="86">
        <f>C284</f>
        <v>-505000</v>
      </c>
      <c r="I284" s="86"/>
      <c r="J284" s="86"/>
      <c r="K284" s="86"/>
      <c r="L284" s="86"/>
      <c r="M284" s="86"/>
      <c r="N284" s="86"/>
      <c r="O284" s="86"/>
      <c r="P284" s="86"/>
      <c r="Q284" s="86"/>
      <c r="R284" s="89"/>
      <c r="S284" s="89"/>
      <c r="T284" s="89"/>
      <c r="U284" s="89"/>
      <c r="V284" s="89"/>
      <c r="W284" s="89"/>
      <c r="X284" s="89"/>
      <c r="Y284" s="89"/>
      <c r="Z284" s="89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</row>
    <row r="285" spans="1:38" s="90" customFormat="1" hidden="1">
      <c r="A285" s="354">
        <v>45434</v>
      </c>
      <c r="B285" s="72" t="s">
        <v>1065</v>
      </c>
      <c r="C285" s="93">
        <v>-737000</v>
      </c>
      <c r="D285" s="142" t="s">
        <v>454</v>
      </c>
      <c r="E285" s="142"/>
      <c r="F285" s="142"/>
      <c r="G285" s="86"/>
      <c r="H285" s="86">
        <f>C285</f>
        <v>-737000</v>
      </c>
      <c r="I285" s="86"/>
      <c r="J285" s="86"/>
      <c r="K285" s="86"/>
      <c r="L285" s="86"/>
      <c r="M285" s="86"/>
      <c r="N285" s="86"/>
      <c r="O285" s="86"/>
      <c r="P285" s="86"/>
      <c r="Q285" s="86"/>
      <c r="R285" s="89"/>
      <c r="S285" s="89"/>
      <c r="T285" s="89"/>
      <c r="U285" s="89"/>
      <c r="V285" s="89"/>
      <c r="W285" s="89"/>
      <c r="X285" s="89"/>
      <c r="Y285" s="89"/>
      <c r="Z285" s="89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</row>
    <row r="286" spans="1:38" s="90" customFormat="1" hidden="1">
      <c r="A286" s="354">
        <v>45434</v>
      </c>
      <c r="B286" s="72" t="s">
        <v>1234</v>
      </c>
      <c r="C286" s="93">
        <v>-595500</v>
      </c>
      <c r="D286" s="142" t="s">
        <v>607</v>
      </c>
      <c r="E286" s="142"/>
      <c r="F286" s="142"/>
      <c r="G286" s="86"/>
      <c r="H286" s="86"/>
      <c r="I286" s="86"/>
      <c r="J286" s="86">
        <f>C286</f>
        <v>-595500</v>
      </c>
      <c r="K286" s="86"/>
      <c r="L286" s="86"/>
      <c r="M286" s="86"/>
      <c r="N286" s="86"/>
      <c r="O286" s="86"/>
      <c r="P286" s="86"/>
      <c r="Q286" s="86"/>
      <c r="R286" s="89"/>
      <c r="S286" s="89"/>
      <c r="T286" s="89"/>
      <c r="U286" s="89"/>
      <c r="V286" s="89"/>
      <c r="W286" s="89"/>
      <c r="X286" s="89"/>
      <c r="Y286" s="89"/>
      <c r="Z286" s="89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</row>
    <row r="287" spans="1:38" s="90" customFormat="1" hidden="1">
      <c r="A287" s="354">
        <v>45434</v>
      </c>
      <c r="B287" s="72" t="s">
        <v>1235</v>
      </c>
      <c r="C287" s="93">
        <v>-65000</v>
      </c>
      <c r="D287" s="142" t="s">
        <v>25</v>
      </c>
      <c r="E287" s="142"/>
      <c r="F287" s="142"/>
      <c r="G287" s="86">
        <f>C287</f>
        <v>-65000</v>
      </c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9"/>
      <c r="S287" s="89"/>
      <c r="T287" s="89"/>
      <c r="U287" s="89"/>
      <c r="V287" s="89"/>
      <c r="W287" s="89"/>
      <c r="X287" s="89"/>
      <c r="Y287" s="89"/>
      <c r="Z287" s="89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</row>
    <row r="288" spans="1:38" s="90" customFormat="1" hidden="1">
      <c r="A288" s="354">
        <v>45434</v>
      </c>
      <c r="B288" s="72" t="s">
        <v>591</v>
      </c>
      <c r="C288" s="93">
        <v>-36000</v>
      </c>
      <c r="D288" s="142" t="s">
        <v>454</v>
      </c>
      <c r="E288" s="142"/>
      <c r="F288" s="142"/>
      <c r="G288" s="86"/>
      <c r="H288" s="86">
        <f>C288</f>
        <v>-36000</v>
      </c>
      <c r="I288" s="86"/>
      <c r="J288" s="86"/>
      <c r="K288" s="86"/>
      <c r="L288" s="86"/>
      <c r="M288" s="86"/>
      <c r="N288" s="86"/>
      <c r="O288" s="86"/>
      <c r="P288" s="86"/>
      <c r="Q288" s="86"/>
      <c r="R288" s="89"/>
      <c r="S288" s="89"/>
      <c r="T288" s="89"/>
      <c r="U288" s="89"/>
      <c r="V288" s="89"/>
      <c r="W288" s="89"/>
      <c r="X288" s="89"/>
      <c r="Y288" s="89"/>
      <c r="Z288" s="89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</row>
    <row r="289" spans="1:38" s="90" customFormat="1" hidden="1">
      <c r="A289" s="354">
        <v>45435</v>
      </c>
      <c r="B289" s="72" t="s">
        <v>577</v>
      </c>
      <c r="C289" s="93">
        <v>-11000</v>
      </c>
      <c r="D289" s="142" t="s">
        <v>453</v>
      </c>
      <c r="E289" s="142"/>
      <c r="F289" s="142"/>
      <c r="G289" s="86"/>
      <c r="H289" s="86"/>
      <c r="I289" s="86"/>
      <c r="J289" s="86"/>
      <c r="K289" s="86">
        <f>C289</f>
        <v>-11000</v>
      </c>
      <c r="L289" s="86"/>
      <c r="M289" s="86"/>
      <c r="N289" s="86"/>
      <c r="O289" s="86"/>
      <c r="P289" s="86"/>
      <c r="Q289" s="86"/>
      <c r="R289" s="89"/>
      <c r="S289" s="89"/>
      <c r="T289" s="89"/>
      <c r="U289" s="89"/>
      <c r="V289" s="89"/>
      <c r="W289" s="89"/>
      <c r="X289" s="89"/>
      <c r="Y289" s="89"/>
      <c r="Z289" s="89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</row>
    <row r="290" spans="1:38" s="90" customFormat="1" hidden="1">
      <c r="A290" s="354">
        <v>45435</v>
      </c>
      <c r="B290" s="72" t="s">
        <v>1238</v>
      </c>
      <c r="C290" s="93">
        <v>-1168000</v>
      </c>
      <c r="D290" s="142" t="s">
        <v>454</v>
      </c>
      <c r="E290" s="142"/>
      <c r="F290" s="142"/>
      <c r="G290" s="86"/>
      <c r="H290" s="86">
        <f>C290</f>
        <v>-1168000</v>
      </c>
      <c r="I290" s="86"/>
      <c r="J290" s="86"/>
      <c r="K290" s="86"/>
      <c r="L290" s="86"/>
      <c r="M290" s="86"/>
      <c r="N290" s="86"/>
      <c r="O290" s="86"/>
      <c r="P290" s="86"/>
      <c r="Q290" s="86"/>
      <c r="R290" s="89"/>
      <c r="S290" s="89"/>
      <c r="T290" s="89"/>
      <c r="U290" s="89"/>
      <c r="V290" s="89"/>
      <c r="W290" s="89"/>
      <c r="X290" s="89"/>
      <c r="Y290" s="89"/>
      <c r="Z290" s="89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</row>
    <row r="291" spans="1:38" s="90" customFormat="1" hidden="1">
      <c r="A291" s="354">
        <v>45435</v>
      </c>
      <c r="B291" s="72" t="s">
        <v>1239</v>
      </c>
      <c r="C291" s="93">
        <v>-65000</v>
      </c>
      <c r="D291" s="142" t="s">
        <v>25</v>
      </c>
      <c r="E291" s="142"/>
      <c r="F291" s="142"/>
      <c r="G291" s="86">
        <f>C291</f>
        <v>-65000</v>
      </c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9"/>
      <c r="S291" s="89"/>
      <c r="T291" s="89"/>
      <c r="U291" s="89"/>
      <c r="V291" s="89"/>
      <c r="W291" s="89"/>
      <c r="X291" s="89"/>
      <c r="Y291" s="89"/>
      <c r="Z291" s="89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</row>
    <row r="292" spans="1:38" s="90" customFormat="1" hidden="1">
      <c r="A292" s="354">
        <v>45435</v>
      </c>
      <c r="B292" s="72" t="s">
        <v>591</v>
      </c>
      <c r="C292" s="93">
        <v>-2127500</v>
      </c>
      <c r="D292" s="142" t="s">
        <v>454</v>
      </c>
      <c r="E292" s="142"/>
      <c r="F292" s="142"/>
      <c r="G292" s="86"/>
      <c r="H292" s="86">
        <f>C292</f>
        <v>-2127500</v>
      </c>
      <c r="I292" s="86"/>
      <c r="J292" s="86"/>
      <c r="K292" s="86"/>
      <c r="L292" s="86"/>
      <c r="M292" s="86"/>
      <c r="N292" s="86"/>
      <c r="O292" s="86"/>
      <c r="P292" s="86"/>
      <c r="Q292" s="86"/>
      <c r="R292" s="89"/>
      <c r="S292" s="89"/>
      <c r="T292" s="89"/>
      <c r="U292" s="89"/>
      <c r="V292" s="89"/>
      <c r="W292" s="89"/>
      <c r="X292" s="89"/>
      <c r="Y292" s="89"/>
      <c r="Z292" s="89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</row>
    <row r="293" spans="1:38" s="90" customFormat="1" hidden="1">
      <c r="A293" s="354">
        <v>45435</v>
      </c>
      <c r="B293" s="72" t="s">
        <v>1240</v>
      </c>
      <c r="C293" s="93">
        <v>-65000</v>
      </c>
      <c r="D293" s="142" t="s">
        <v>25</v>
      </c>
      <c r="E293" s="142"/>
      <c r="F293" s="142"/>
      <c r="G293" s="86">
        <f>C293</f>
        <v>-65000</v>
      </c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9"/>
      <c r="S293" s="89"/>
      <c r="T293" s="89"/>
      <c r="U293" s="89"/>
      <c r="V293" s="89"/>
      <c r="W293" s="89"/>
      <c r="X293" s="89"/>
      <c r="Y293" s="89"/>
      <c r="Z293" s="89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</row>
    <row r="294" spans="1:38" s="90" customFormat="1" hidden="1">
      <c r="A294" s="354">
        <v>45435</v>
      </c>
      <c r="B294" s="72" t="s">
        <v>592</v>
      </c>
      <c r="C294" s="93">
        <v>-10000</v>
      </c>
      <c r="D294" s="142" t="s">
        <v>454</v>
      </c>
      <c r="E294" s="142"/>
      <c r="F294" s="142"/>
      <c r="G294" s="86"/>
      <c r="H294" s="86">
        <f>C294</f>
        <v>-10000</v>
      </c>
      <c r="I294" s="86"/>
      <c r="J294" s="86"/>
      <c r="K294" s="86"/>
      <c r="L294" s="86"/>
      <c r="M294" s="86"/>
      <c r="N294" s="86"/>
      <c r="O294" s="86"/>
      <c r="P294" s="86"/>
      <c r="Q294" s="86"/>
      <c r="R294" s="89"/>
      <c r="S294" s="89"/>
      <c r="T294" s="89"/>
      <c r="U294" s="89"/>
      <c r="V294" s="89"/>
      <c r="W294" s="89"/>
      <c r="X294" s="89"/>
      <c r="Y294" s="89"/>
      <c r="Z294" s="89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</row>
    <row r="295" spans="1:38" s="90" customFormat="1" hidden="1">
      <c r="A295" s="354">
        <v>45435</v>
      </c>
      <c r="B295" s="72" t="s">
        <v>591</v>
      </c>
      <c r="C295" s="93">
        <v>-73500</v>
      </c>
      <c r="D295" s="142" t="s">
        <v>454</v>
      </c>
      <c r="E295" s="142"/>
      <c r="F295" s="142"/>
      <c r="G295" s="86"/>
      <c r="H295" s="86">
        <f>C295</f>
        <v>-73500</v>
      </c>
      <c r="I295" s="86"/>
      <c r="J295" s="86"/>
      <c r="K295" s="86"/>
      <c r="L295" s="86"/>
      <c r="M295" s="86"/>
      <c r="N295" s="86"/>
      <c r="O295" s="86"/>
      <c r="P295" s="86"/>
      <c r="Q295" s="86"/>
      <c r="R295" s="89"/>
      <c r="S295" s="89"/>
      <c r="T295" s="89"/>
      <c r="U295" s="89"/>
      <c r="V295" s="89"/>
      <c r="W295" s="89"/>
      <c r="X295" s="89"/>
      <c r="Y295" s="89"/>
      <c r="Z295" s="89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</row>
    <row r="296" spans="1:38" s="90" customFormat="1" hidden="1">
      <c r="A296" s="354">
        <v>45435</v>
      </c>
      <c r="B296" s="72" t="s">
        <v>601</v>
      </c>
      <c r="C296" s="93">
        <v>-120000</v>
      </c>
      <c r="D296" s="142" t="s">
        <v>607</v>
      </c>
      <c r="E296" s="142"/>
      <c r="F296" s="142"/>
      <c r="G296" s="86"/>
      <c r="H296" s="86"/>
      <c r="I296" s="86"/>
      <c r="J296" s="86">
        <f>C296</f>
        <v>-120000</v>
      </c>
      <c r="K296" s="86"/>
      <c r="L296" s="86"/>
      <c r="M296" s="86"/>
      <c r="N296" s="86"/>
      <c r="O296" s="86"/>
      <c r="P296" s="86"/>
      <c r="Q296" s="86"/>
      <c r="R296" s="89"/>
      <c r="S296" s="89"/>
      <c r="T296" s="89"/>
      <c r="U296" s="89"/>
      <c r="V296" s="89"/>
      <c r="W296" s="89"/>
      <c r="X296" s="89"/>
      <c r="Y296" s="89"/>
      <c r="Z296" s="89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</row>
    <row r="297" spans="1:38" s="90" customFormat="1" hidden="1">
      <c r="A297" s="354">
        <v>45435</v>
      </c>
      <c r="B297" s="72" t="s">
        <v>591</v>
      </c>
      <c r="C297" s="93">
        <v>-226000</v>
      </c>
      <c r="D297" s="142" t="s">
        <v>454</v>
      </c>
      <c r="E297" s="142"/>
      <c r="F297" s="142"/>
      <c r="G297" s="86"/>
      <c r="H297" s="86">
        <f>C297</f>
        <v>-226000</v>
      </c>
      <c r="I297" s="86"/>
      <c r="J297" s="86"/>
      <c r="K297" s="86"/>
      <c r="L297" s="86"/>
      <c r="M297" s="86"/>
      <c r="N297" s="86"/>
      <c r="O297" s="86"/>
      <c r="P297" s="86"/>
      <c r="Q297" s="86"/>
      <c r="R297" s="89"/>
      <c r="S297" s="89"/>
      <c r="T297" s="89"/>
      <c r="U297" s="89"/>
      <c r="V297" s="89"/>
      <c r="W297" s="89"/>
      <c r="X297" s="89"/>
      <c r="Y297" s="89"/>
      <c r="Z297" s="89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</row>
    <row r="298" spans="1:38" s="90" customFormat="1" hidden="1">
      <c r="A298" s="354">
        <v>45435</v>
      </c>
      <c r="B298" s="72" t="s">
        <v>1241</v>
      </c>
      <c r="C298" s="93">
        <v>-182000</v>
      </c>
      <c r="D298" s="142" t="s">
        <v>455</v>
      </c>
      <c r="E298" s="142"/>
      <c r="F298" s="142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9"/>
      <c r="S298" s="89"/>
      <c r="T298" s="89"/>
      <c r="U298" s="89"/>
      <c r="V298" s="89"/>
      <c r="W298" s="89"/>
      <c r="X298" s="89"/>
      <c r="Y298" s="89"/>
      <c r="Z298" s="89"/>
      <c r="AA298" s="86"/>
      <c r="AB298" s="86"/>
      <c r="AC298" s="86"/>
      <c r="AD298" s="86"/>
      <c r="AE298" s="86"/>
      <c r="AF298" s="86"/>
      <c r="AG298" s="86">
        <f>C298</f>
        <v>-182000</v>
      </c>
      <c r="AH298" s="86"/>
      <c r="AI298" s="86"/>
      <c r="AJ298" s="86"/>
      <c r="AK298" s="86"/>
      <c r="AL298" s="86"/>
    </row>
    <row r="299" spans="1:38" s="90" customFormat="1" hidden="1">
      <c r="A299" s="354">
        <v>45435</v>
      </c>
      <c r="B299" s="72" t="s">
        <v>1242</v>
      </c>
      <c r="C299" s="93">
        <v>-75000</v>
      </c>
      <c r="D299" s="142" t="s">
        <v>25</v>
      </c>
      <c r="E299" s="142"/>
      <c r="F299" s="142"/>
      <c r="G299" s="86">
        <f>C299</f>
        <v>-75000</v>
      </c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9"/>
      <c r="S299" s="89"/>
      <c r="T299" s="89"/>
      <c r="U299" s="89"/>
      <c r="V299" s="89"/>
      <c r="W299" s="89"/>
      <c r="X299" s="89"/>
      <c r="Y299" s="89"/>
      <c r="Z299" s="89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</row>
    <row r="300" spans="1:38" s="90" customFormat="1" hidden="1">
      <c r="A300" s="354">
        <v>45436</v>
      </c>
      <c r="B300" s="72" t="s">
        <v>577</v>
      </c>
      <c r="C300" s="93">
        <v>-11000</v>
      </c>
      <c r="D300" s="142" t="s">
        <v>453</v>
      </c>
      <c r="E300" s="142"/>
      <c r="F300" s="142"/>
      <c r="G300" s="86"/>
      <c r="H300" s="86"/>
      <c r="I300" s="86"/>
      <c r="J300" s="86"/>
      <c r="K300" s="86">
        <f>C300</f>
        <v>-11000</v>
      </c>
      <c r="L300" s="86"/>
      <c r="M300" s="86"/>
      <c r="N300" s="86"/>
      <c r="O300" s="86"/>
      <c r="P300" s="86"/>
      <c r="Q300" s="86"/>
      <c r="R300" s="89"/>
      <c r="S300" s="89"/>
      <c r="T300" s="89"/>
      <c r="U300" s="89"/>
      <c r="V300" s="89"/>
      <c r="W300" s="89"/>
      <c r="X300" s="89"/>
      <c r="Y300" s="89"/>
      <c r="Z300" s="89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</row>
    <row r="301" spans="1:38" s="90" customFormat="1" hidden="1">
      <c r="A301" s="354">
        <v>45436</v>
      </c>
      <c r="B301" s="72" t="s">
        <v>1243</v>
      </c>
      <c r="C301" s="93">
        <v>-200000</v>
      </c>
      <c r="D301" s="142" t="s">
        <v>453</v>
      </c>
      <c r="E301" s="142"/>
      <c r="F301" s="142"/>
      <c r="G301" s="86"/>
      <c r="H301" s="86"/>
      <c r="I301" s="86"/>
      <c r="J301" s="86"/>
      <c r="K301" s="86">
        <f>C301</f>
        <v>-200000</v>
      </c>
      <c r="L301" s="86"/>
      <c r="M301" s="86"/>
      <c r="N301" s="86"/>
      <c r="O301" s="86"/>
      <c r="P301" s="86"/>
      <c r="Q301" s="86"/>
      <c r="R301" s="89"/>
      <c r="S301" s="89"/>
      <c r="T301" s="89"/>
      <c r="U301" s="89"/>
      <c r="V301" s="89"/>
      <c r="W301" s="89"/>
      <c r="X301" s="89"/>
      <c r="Y301" s="89"/>
      <c r="Z301" s="89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</row>
    <row r="302" spans="1:38" s="90" customFormat="1" hidden="1">
      <c r="A302" s="354">
        <v>45436</v>
      </c>
      <c r="B302" s="72" t="s">
        <v>591</v>
      </c>
      <c r="C302" s="93">
        <v>-1680000</v>
      </c>
      <c r="D302" s="142" t="s">
        <v>454</v>
      </c>
      <c r="E302" s="142"/>
      <c r="F302" s="142"/>
      <c r="G302" s="86"/>
      <c r="H302" s="86">
        <f>C302</f>
        <v>-1680000</v>
      </c>
      <c r="I302" s="86"/>
      <c r="J302" s="86"/>
      <c r="K302" s="86"/>
      <c r="L302" s="86"/>
      <c r="M302" s="86"/>
      <c r="N302" s="86"/>
      <c r="O302" s="86"/>
      <c r="P302" s="86"/>
      <c r="Q302" s="86"/>
      <c r="R302" s="89"/>
      <c r="S302" s="89"/>
      <c r="T302" s="89"/>
      <c r="U302" s="89"/>
      <c r="V302" s="89"/>
      <c r="W302" s="89"/>
      <c r="X302" s="89"/>
      <c r="Y302" s="89"/>
      <c r="Z302" s="89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</row>
    <row r="303" spans="1:38" s="90" customFormat="1" hidden="1">
      <c r="A303" s="354">
        <v>45436</v>
      </c>
      <c r="B303" s="72" t="s">
        <v>1245</v>
      </c>
      <c r="C303" s="93">
        <v>-65000</v>
      </c>
      <c r="D303" s="142" t="s">
        <v>25</v>
      </c>
      <c r="E303" s="142"/>
      <c r="F303" s="142"/>
      <c r="G303" s="86">
        <f>C303</f>
        <v>-65000</v>
      </c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9"/>
      <c r="S303" s="89"/>
      <c r="T303" s="89"/>
      <c r="U303" s="89"/>
      <c r="V303" s="89"/>
      <c r="W303" s="89"/>
      <c r="X303" s="89"/>
      <c r="Y303" s="89"/>
      <c r="Z303" s="89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</row>
    <row r="304" spans="1:38" s="90" customFormat="1" hidden="1">
      <c r="A304" s="354">
        <v>45436</v>
      </c>
      <c r="B304" s="72" t="s">
        <v>584</v>
      </c>
      <c r="C304" s="93">
        <v>-714000</v>
      </c>
      <c r="D304" s="142" t="s">
        <v>454</v>
      </c>
      <c r="E304" s="142"/>
      <c r="F304" s="142"/>
      <c r="G304" s="86"/>
      <c r="H304" s="86">
        <f>C304</f>
        <v>-714000</v>
      </c>
      <c r="I304" s="86"/>
      <c r="J304" s="86"/>
      <c r="K304" s="86"/>
      <c r="L304" s="86"/>
      <c r="M304" s="86"/>
      <c r="N304" s="86"/>
      <c r="O304" s="86"/>
      <c r="P304" s="86"/>
      <c r="Q304" s="86"/>
      <c r="R304" s="89"/>
      <c r="S304" s="89"/>
      <c r="T304" s="89"/>
      <c r="U304" s="89"/>
      <c r="V304" s="89"/>
      <c r="W304" s="89"/>
      <c r="X304" s="89"/>
      <c r="Y304" s="89"/>
      <c r="Z304" s="89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</row>
    <row r="305" spans="1:38" s="90" customFormat="1" hidden="1">
      <c r="A305" s="354">
        <v>45436</v>
      </c>
      <c r="B305" s="72" t="s">
        <v>975</v>
      </c>
      <c r="C305" s="93">
        <v>-425000</v>
      </c>
      <c r="D305" s="142" t="s">
        <v>454</v>
      </c>
      <c r="E305" s="142"/>
      <c r="F305" s="142"/>
      <c r="G305" s="86"/>
      <c r="H305" s="86">
        <f>C305</f>
        <v>-425000</v>
      </c>
      <c r="I305" s="86"/>
      <c r="J305" s="86"/>
      <c r="K305" s="86"/>
      <c r="L305" s="86"/>
      <c r="M305" s="86"/>
      <c r="N305" s="86"/>
      <c r="O305" s="86"/>
      <c r="P305" s="86"/>
      <c r="Q305" s="86"/>
      <c r="R305" s="89"/>
      <c r="S305" s="89"/>
      <c r="T305" s="89"/>
      <c r="U305" s="89"/>
      <c r="V305" s="89"/>
      <c r="W305" s="89"/>
      <c r="X305" s="89"/>
      <c r="Y305" s="89"/>
      <c r="Z305" s="89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</row>
    <row r="306" spans="1:38" s="90" customFormat="1" hidden="1">
      <c r="A306" s="354">
        <v>45436</v>
      </c>
      <c r="B306" s="72" t="s">
        <v>1246</v>
      </c>
      <c r="C306" s="93">
        <v>-200000</v>
      </c>
      <c r="D306" s="142" t="s">
        <v>495</v>
      </c>
      <c r="E306" s="142"/>
      <c r="F306" s="142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9"/>
      <c r="S306" s="89"/>
      <c r="T306" s="89"/>
      <c r="U306" s="89"/>
      <c r="V306" s="89"/>
      <c r="W306" s="89"/>
      <c r="X306" s="89">
        <f>C306</f>
        <v>-200000</v>
      </c>
      <c r="Y306" s="89"/>
      <c r="Z306" s="89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</row>
    <row r="307" spans="1:38" s="90" customFormat="1" hidden="1">
      <c r="A307" s="354">
        <v>45436</v>
      </c>
      <c r="B307" s="72" t="s">
        <v>1247</v>
      </c>
      <c r="C307" s="93">
        <v>-1530000</v>
      </c>
      <c r="D307" s="142" t="s">
        <v>455</v>
      </c>
      <c r="E307" s="142"/>
      <c r="F307" s="142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9"/>
      <c r="S307" s="89"/>
      <c r="T307" s="89"/>
      <c r="U307" s="89"/>
      <c r="V307" s="89"/>
      <c r="W307" s="89"/>
      <c r="X307" s="89"/>
      <c r="Y307" s="89"/>
      <c r="Z307" s="89"/>
      <c r="AA307" s="86"/>
      <c r="AB307" s="86"/>
      <c r="AC307" s="86"/>
      <c r="AD307" s="86"/>
      <c r="AE307" s="86"/>
      <c r="AF307" s="86"/>
      <c r="AG307" s="86">
        <f>C307</f>
        <v>-1530000</v>
      </c>
      <c r="AH307" s="86"/>
      <c r="AI307" s="86"/>
      <c r="AJ307" s="86"/>
      <c r="AK307" s="86"/>
      <c r="AL307" s="86"/>
    </row>
    <row r="308" spans="1:38" s="90" customFormat="1" hidden="1">
      <c r="A308" s="354">
        <v>45436</v>
      </c>
      <c r="B308" s="72" t="s">
        <v>1248</v>
      </c>
      <c r="C308" s="93">
        <v>-200000</v>
      </c>
      <c r="D308" s="142" t="s">
        <v>495</v>
      </c>
      <c r="E308" s="142"/>
      <c r="F308" s="142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9"/>
      <c r="S308" s="89"/>
      <c r="T308" s="89"/>
      <c r="U308" s="89"/>
      <c r="V308" s="89"/>
      <c r="W308" s="89"/>
      <c r="X308" s="89">
        <f>C308</f>
        <v>-200000</v>
      </c>
      <c r="Y308" s="89"/>
      <c r="Z308" s="89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</row>
    <row r="309" spans="1:38" s="90" customFormat="1" hidden="1">
      <c r="A309" s="354">
        <v>45436</v>
      </c>
      <c r="B309" s="72" t="s">
        <v>971</v>
      </c>
      <c r="C309" s="93">
        <v>-214000</v>
      </c>
      <c r="D309" s="142" t="s">
        <v>454</v>
      </c>
      <c r="E309" s="142"/>
      <c r="F309" s="142"/>
      <c r="G309" s="86"/>
      <c r="H309" s="86">
        <f>C309</f>
        <v>-214000</v>
      </c>
      <c r="I309" s="86"/>
      <c r="J309" s="86"/>
      <c r="K309" s="86"/>
      <c r="L309" s="86"/>
      <c r="M309" s="86"/>
      <c r="N309" s="86"/>
      <c r="O309" s="86"/>
      <c r="P309" s="86"/>
      <c r="Q309" s="86"/>
      <c r="R309" s="89"/>
      <c r="S309" s="89"/>
      <c r="T309" s="89"/>
      <c r="U309" s="89"/>
      <c r="V309" s="89"/>
      <c r="W309" s="89"/>
      <c r="X309" s="89"/>
      <c r="Y309" s="89"/>
      <c r="Z309" s="89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</row>
    <row r="310" spans="1:38" s="90" customFormat="1" hidden="1">
      <c r="A310" s="354">
        <v>45436</v>
      </c>
      <c r="B310" s="72" t="s">
        <v>1249</v>
      </c>
      <c r="C310" s="93">
        <v>-30000</v>
      </c>
      <c r="D310" s="142" t="s">
        <v>453</v>
      </c>
      <c r="E310" s="142"/>
      <c r="F310" s="142"/>
      <c r="G310" s="86"/>
      <c r="H310" s="86"/>
      <c r="I310" s="86"/>
      <c r="J310" s="86"/>
      <c r="K310" s="86">
        <f>C310</f>
        <v>-30000</v>
      </c>
      <c r="L310" s="86"/>
      <c r="M310" s="86"/>
      <c r="N310" s="86"/>
      <c r="O310" s="86"/>
      <c r="P310" s="86"/>
      <c r="Q310" s="86"/>
      <c r="R310" s="89"/>
      <c r="S310" s="89"/>
      <c r="T310" s="89"/>
      <c r="U310" s="89"/>
      <c r="V310" s="89"/>
      <c r="W310" s="89"/>
      <c r="X310" s="89"/>
      <c r="Y310" s="89"/>
      <c r="Z310" s="89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</row>
    <row r="311" spans="1:38" s="90" customFormat="1" hidden="1">
      <c r="A311" s="354">
        <v>45436</v>
      </c>
      <c r="B311" s="72" t="s">
        <v>970</v>
      </c>
      <c r="C311" s="93">
        <v>-1474500</v>
      </c>
      <c r="D311" s="142" t="s">
        <v>454</v>
      </c>
      <c r="E311" s="142"/>
      <c r="F311" s="142"/>
      <c r="G311" s="86"/>
      <c r="H311" s="86">
        <f>C311</f>
        <v>-1474500</v>
      </c>
      <c r="I311" s="86"/>
      <c r="J311" s="86"/>
      <c r="K311" s="86"/>
      <c r="L311" s="86"/>
      <c r="M311" s="86"/>
      <c r="N311" s="86"/>
      <c r="O311" s="86"/>
      <c r="P311" s="86"/>
      <c r="Q311" s="86"/>
      <c r="R311" s="89"/>
      <c r="S311" s="89"/>
      <c r="T311" s="89"/>
      <c r="U311" s="89"/>
      <c r="V311" s="89"/>
      <c r="W311" s="89"/>
      <c r="X311" s="89"/>
      <c r="Y311" s="89"/>
      <c r="Z311" s="89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</row>
    <row r="312" spans="1:38" s="90" customFormat="1" hidden="1">
      <c r="A312" s="354">
        <v>45436</v>
      </c>
      <c r="B312" s="72" t="s">
        <v>1234</v>
      </c>
      <c r="C312" s="93">
        <v>-750000</v>
      </c>
      <c r="D312" s="142" t="s">
        <v>607</v>
      </c>
      <c r="E312" s="142"/>
      <c r="F312" s="142"/>
      <c r="G312" s="86"/>
      <c r="H312" s="86"/>
      <c r="I312" s="86"/>
      <c r="J312" s="86">
        <f>C312</f>
        <v>-750000</v>
      </c>
      <c r="K312" s="86"/>
      <c r="L312" s="86"/>
      <c r="M312" s="86"/>
      <c r="N312" s="86"/>
      <c r="O312" s="86"/>
      <c r="P312" s="86"/>
      <c r="Q312" s="86"/>
      <c r="R312" s="89"/>
      <c r="S312" s="89"/>
      <c r="T312" s="89"/>
      <c r="U312" s="89"/>
      <c r="V312" s="89"/>
      <c r="W312" s="89"/>
      <c r="X312" s="89"/>
      <c r="Y312" s="89"/>
      <c r="Z312" s="89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</row>
    <row r="313" spans="1:38" s="90" customFormat="1" hidden="1">
      <c r="A313" s="354">
        <v>45436</v>
      </c>
      <c r="B313" s="72" t="s">
        <v>1250</v>
      </c>
      <c r="C313" s="93">
        <v>-925000</v>
      </c>
      <c r="D313" s="142" t="s">
        <v>455</v>
      </c>
      <c r="E313" s="142"/>
      <c r="F313" s="142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9"/>
      <c r="S313" s="89"/>
      <c r="T313" s="89"/>
      <c r="U313" s="89"/>
      <c r="V313" s="89"/>
      <c r="W313" s="89"/>
      <c r="X313" s="89"/>
      <c r="Y313" s="89"/>
      <c r="Z313" s="89"/>
      <c r="AA313" s="86"/>
      <c r="AB313" s="86"/>
      <c r="AC313" s="86"/>
      <c r="AD313" s="86"/>
      <c r="AE313" s="86"/>
      <c r="AF313" s="86"/>
      <c r="AG313" s="86">
        <f>C313</f>
        <v>-925000</v>
      </c>
      <c r="AH313" s="86"/>
      <c r="AI313" s="86"/>
      <c r="AJ313" s="86"/>
      <c r="AK313" s="86"/>
      <c r="AL313" s="86"/>
    </row>
    <row r="314" spans="1:38" s="90" customFormat="1" hidden="1">
      <c r="A314" s="354">
        <v>45436</v>
      </c>
      <c r="B314" s="72" t="s">
        <v>1252</v>
      </c>
      <c r="C314" s="93">
        <v>-91000</v>
      </c>
      <c r="D314" s="142" t="s">
        <v>454</v>
      </c>
      <c r="E314" s="142"/>
      <c r="F314" s="142"/>
      <c r="G314" s="86"/>
      <c r="H314" s="86">
        <f>C314</f>
        <v>-91000</v>
      </c>
      <c r="I314" s="86"/>
      <c r="J314" s="86"/>
      <c r="K314" s="86"/>
      <c r="L314" s="86"/>
      <c r="M314" s="86"/>
      <c r="N314" s="86"/>
      <c r="O314" s="86"/>
      <c r="P314" s="86"/>
      <c r="Q314" s="86"/>
      <c r="R314" s="89"/>
      <c r="S314" s="89"/>
      <c r="T314" s="89"/>
      <c r="U314" s="89"/>
      <c r="V314" s="89"/>
      <c r="W314" s="89"/>
      <c r="X314" s="89"/>
      <c r="Y314" s="89"/>
      <c r="Z314" s="89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</row>
    <row r="315" spans="1:38" s="90" customFormat="1" hidden="1">
      <c r="A315" s="354">
        <v>45436</v>
      </c>
      <c r="B315" s="72" t="s">
        <v>1071</v>
      </c>
      <c r="C315" s="93">
        <v>-1353000</v>
      </c>
      <c r="D315" s="142" t="s">
        <v>454</v>
      </c>
      <c r="E315" s="142"/>
      <c r="F315" s="142"/>
      <c r="G315" s="86"/>
      <c r="H315" s="86">
        <f>C315</f>
        <v>-1353000</v>
      </c>
      <c r="I315" s="86"/>
      <c r="J315" s="86"/>
      <c r="K315" s="86"/>
      <c r="L315" s="86"/>
      <c r="M315" s="86"/>
      <c r="N315" s="86"/>
      <c r="O315" s="86"/>
      <c r="P315" s="86"/>
      <c r="Q315" s="86"/>
      <c r="R315" s="89"/>
      <c r="S315" s="89"/>
      <c r="T315" s="89"/>
      <c r="U315" s="89"/>
      <c r="V315" s="89"/>
      <c r="W315" s="89"/>
      <c r="X315" s="89"/>
      <c r="Y315" s="89"/>
      <c r="Z315" s="89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</row>
    <row r="316" spans="1:38" s="90" customFormat="1" hidden="1">
      <c r="A316" s="354">
        <v>45436</v>
      </c>
      <c r="B316" s="72" t="s">
        <v>1253</v>
      </c>
      <c r="C316" s="93">
        <v>-80000</v>
      </c>
      <c r="D316" s="142" t="s">
        <v>25</v>
      </c>
      <c r="E316" s="142"/>
      <c r="F316" s="142"/>
      <c r="G316" s="86">
        <f>C316</f>
        <v>-80000</v>
      </c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9"/>
      <c r="S316" s="89"/>
      <c r="T316" s="89"/>
      <c r="U316" s="89"/>
      <c r="V316" s="89"/>
      <c r="W316" s="89"/>
      <c r="X316" s="89"/>
      <c r="Y316" s="89"/>
      <c r="Z316" s="89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</row>
    <row r="317" spans="1:38" s="90" customFormat="1" hidden="1">
      <c r="A317" s="354">
        <v>45436</v>
      </c>
      <c r="B317" s="72" t="s">
        <v>1254</v>
      </c>
      <c r="C317" s="93">
        <v>-65000</v>
      </c>
      <c r="D317" s="142" t="s">
        <v>25</v>
      </c>
      <c r="E317" s="142"/>
      <c r="F317" s="142"/>
      <c r="G317" s="86">
        <f>C317</f>
        <v>-65000</v>
      </c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9"/>
      <c r="S317" s="89"/>
      <c r="T317" s="89"/>
      <c r="U317" s="89"/>
      <c r="V317" s="89"/>
      <c r="W317" s="89"/>
      <c r="X317" s="89"/>
      <c r="Y317" s="89"/>
      <c r="Z317" s="89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</row>
    <row r="318" spans="1:38" s="90" customFormat="1" hidden="1">
      <c r="A318" s="354">
        <v>45436</v>
      </c>
      <c r="B318" s="72" t="s">
        <v>591</v>
      </c>
      <c r="C318" s="93">
        <v>-14500</v>
      </c>
      <c r="D318" s="142" t="s">
        <v>454</v>
      </c>
      <c r="E318" s="142"/>
      <c r="F318" s="142"/>
      <c r="G318" s="86"/>
      <c r="H318" s="86">
        <f>C318</f>
        <v>-14500</v>
      </c>
      <c r="I318" s="86"/>
      <c r="J318" s="86"/>
      <c r="K318" s="86"/>
      <c r="L318" s="86"/>
      <c r="M318" s="86"/>
      <c r="N318" s="86"/>
      <c r="O318" s="86"/>
      <c r="P318" s="86"/>
      <c r="Q318" s="86"/>
      <c r="R318" s="89"/>
      <c r="S318" s="89"/>
      <c r="T318" s="89"/>
      <c r="U318" s="89"/>
      <c r="V318" s="89"/>
      <c r="W318" s="89"/>
      <c r="X318" s="89"/>
      <c r="Y318" s="89"/>
      <c r="Z318" s="89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</row>
    <row r="319" spans="1:38" s="90" customFormat="1" hidden="1">
      <c r="A319" s="354">
        <v>45436</v>
      </c>
      <c r="B319" s="72" t="s">
        <v>1256</v>
      </c>
      <c r="C319" s="93">
        <v>-80000</v>
      </c>
      <c r="D319" s="142" t="s">
        <v>25</v>
      </c>
      <c r="E319" s="142"/>
      <c r="F319" s="142"/>
      <c r="G319" s="86">
        <f>C319</f>
        <v>-80000</v>
      </c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9"/>
      <c r="S319" s="89"/>
      <c r="T319" s="89"/>
      <c r="U319" s="89"/>
      <c r="V319" s="89"/>
      <c r="W319" s="89"/>
      <c r="X319" s="89"/>
      <c r="Y319" s="89"/>
      <c r="Z319" s="89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</row>
    <row r="320" spans="1:38" s="90" customFormat="1" hidden="1">
      <c r="A320" s="354">
        <v>45437</v>
      </c>
      <c r="B320" s="72" t="s">
        <v>577</v>
      </c>
      <c r="C320" s="93">
        <v>-11000</v>
      </c>
      <c r="D320" s="142" t="s">
        <v>453</v>
      </c>
      <c r="E320" s="142"/>
      <c r="F320" s="142"/>
      <c r="G320" s="86"/>
      <c r="H320" s="86"/>
      <c r="I320" s="86"/>
      <c r="J320" s="86"/>
      <c r="K320" s="86">
        <f>C320</f>
        <v>-11000</v>
      </c>
      <c r="L320" s="86"/>
      <c r="M320" s="86"/>
      <c r="N320" s="86"/>
      <c r="O320" s="86"/>
      <c r="P320" s="86"/>
      <c r="Q320" s="86"/>
      <c r="R320" s="89"/>
      <c r="S320" s="89"/>
      <c r="T320" s="89"/>
      <c r="U320" s="89"/>
      <c r="V320" s="89"/>
      <c r="W320" s="89"/>
      <c r="X320" s="89"/>
      <c r="Y320" s="89"/>
      <c r="Z320" s="89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</row>
    <row r="321" spans="1:38" s="90" customFormat="1" hidden="1">
      <c r="A321" s="354">
        <v>45437</v>
      </c>
      <c r="B321" s="72" t="s">
        <v>584</v>
      </c>
      <c r="C321" s="93">
        <v>-646000</v>
      </c>
      <c r="D321" s="142" t="s">
        <v>454</v>
      </c>
      <c r="E321" s="142"/>
      <c r="F321" s="142"/>
      <c r="G321" s="86"/>
      <c r="H321" s="86">
        <f>C321</f>
        <v>-646000</v>
      </c>
      <c r="I321" s="86"/>
      <c r="J321" s="86"/>
      <c r="K321" s="86"/>
      <c r="L321" s="86"/>
      <c r="M321" s="86"/>
      <c r="N321" s="86"/>
      <c r="O321" s="86"/>
      <c r="P321" s="86"/>
      <c r="Q321" s="86"/>
      <c r="R321" s="89"/>
      <c r="S321" s="89"/>
      <c r="T321" s="89"/>
      <c r="U321" s="89"/>
      <c r="V321" s="89"/>
      <c r="W321" s="89"/>
      <c r="X321" s="89"/>
      <c r="Y321" s="89"/>
      <c r="Z321" s="89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</row>
    <row r="322" spans="1:38" s="90" customFormat="1" hidden="1">
      <c r="A322" s="354">
        <v>45437</v>
      </c>
      <c r="B322" s="72" t="s">
        <v>591</v>
      </c>
      <c r="C322" s="93">
        <v>-1749000</v>
      </c>
      <c r="D322" s="142" t="s">
        <v>454</v>
      </c>
      <c r="E322" s="142"/>
      <c r="F322" s="142"/>
      <c r="G322" s="86"/>
      <c r="H322" s="86">
        <f>C322</f>
        <v>-1749000</v>
      </c>
      <c r="I322" s="86"/>
      <c r="J322" s="86"/>
      <c r="K322" s="86"/>
      <c r="L322" s="86"/>
      <c r="M322" s="86"/>
      <c r="N322" s="86"/>
      <c r="O322" s="86"/>
      <c r="P322" s="86"/>
      <c r="Q322" s="86"/>
      <c r="R322" s="89"/>
      <c r="S322" s="89"/>
      <c r="T322" s="89"/>
      <c r="U322" s="89"/>
      <c r="V322" s="89"/>
      <c r="W322" s="89"/>
      <c r="X322" s="89"/>
      <c r="Y322" s="89"/>
      <c r="Z322" s="89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</row>
    <row r="323" spans="1:38" s="90" customFormat="1" hidden="1">
      <c r="A323" s="354">
        <v>45437</v>
      </c>
      <c r="B323" s="72" t="s">
        <v>591</v>
      </c>
      <c r="C323" s="93">
        <v>-95000</v>
      </c>
      <c r="D323" s="142" t="s">
        <v>454</v>
      </c>
      <c r="E323" s="142"/>
      <c r="F323" s="142"/>
      <c r="G323" s="86"/>
      <c r="H323" s="86">
        <f>C323</f>
        <v>-95000</v>
      </c>
      <c r="I323" s="86"/>
      <c r="J323" s="86"/>
      <c r="K323" s="86"/>
      <c r="L323" s="86"/>
      <c r="M323" s="86"/>
      <c r="N323" s="86"/>
      <c r="O323" s="86"/>
      <c r="P323" s="86"/>
      <c r="Q323" s="86"/>
      <c r="R323" s="89"/>
      <c r="S323" s="89"/>
      <c r="T323" s="89"/>
      <c r="U323" s="89"/>
      <c r="V323" s="89"/>
      <c r="W323" s="89"/>
      <c r="X323" s="89"/>
      <c r="Y323" s="89"/>
      <c r="Z323" s="89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</row>
    <row r="324" spans="1:38" s="90" customFormat="1" hidden="1">
      <c r="A324" s="354">
        <v>45437</v>
      </c>
      <c r="B324" s="72" t="s">
        <v>1259</v>
      </c>
      <c r="C324" s="93">
        <v>-390500</v>
      </c>
      <c r="D324" s="142" t="s">
        <v>455</v>
      </c>
      <c r="E324" s="142"/>
      <c r="F324" s="142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9"/>
      <c r="S324" s="89"/>
      <c r="T324" s="89"/>
      <c r="U324" s="89"/>
      <c r="V324" s="89"/>
      <c r="W324" s="89"/>
      <c r="X324" s="89"/>
      <c r="Y324" s="89"/>
      <c r="Z324" s="89"/>
      <c r="AA324" s="86"/>
      <c r="AB324" s="86"/>
      <c r="AC324" s="86"/>
      <c r="AD324" s="86"/>
      <c r="AE324" s="86"/>
      <c r="AF324" s="86"/>
      <c r="AG324" s="86">
        <f>C324</f>
        <v>-390500</v>
      </c>
      <c r="AH324" s="86"/>
      <c r="AI324" s="86"/>
      <c r="AJ324" s="86"/>
      <c r="AK324" s="86"/>
      <c r="AL324" s="86"/>
    </row>
    <row r="325" spans="1:38" s="90" customFormat="1" hidden="1">
      <c r="A325" s="354">
        <v>45437</v>
      </c>
      <c r="B325" s="72" t="s">
        <v>586</v>
      </c>
      <c r="C325" s="93">
        <v>-214000</v>
      </c>
      <c r="D325" s="142" t="s">
        <v>454</v>
      </c>
      <c r="E325" s="142"/>
      <c r="F325" s="142"/>
      <c r="G325" s="86"/>
      <c r="H325" s="86">
        <f>C325</f>
        <v>-214000</v>
      </c>
      <c r="I325" s="86"/>
      <c r="J325" s="86"/>
      <c r="K325" s="86"/>
      <c r="L325" s="86"/>
      <c r="M325" s="86"/>
      <c r="N325" s="86"/>
      <c r="O325" s="86"/>
      <c r="P325" s="86"/>
      <c r="Q325" s="86"/>
      <c r="R325" s="89"/>
      <c r="S325" s="89"/>
      <c r="T325" s="89"/>
      <c r="U325" s="89"/>
      <c r="V325" s="89"/>
      <c r="W325" s="89"/>
      <c r="X325" s="89"/>
      <c r="Y325" s="89"/>
      <c r="Z325" s="89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</row>
    <row r="326" spans="1:38" s="90" customFormat="1" hidden="1">
      <c r="A326" s="354">
        <v>45437</v>
      </c>
      <c r="B326" s="72" t="s">
        <v>1259</v>
      </c>
      <c r="C326" s="93">
        <v>-675000</v>
      </c>
      <c r="D326" s="142" t="s">
        <v>455</v>
      </c>
      <c r="E326" s="142"/>
      <c r="F326" s="142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9"/>
      <c r="S326" s="89"/>
      <c r="T326" s="89"/>
      <c r="U326" s="89"/>
      <c r="V326" s="89"/>
      <c r="W326" s="89"/>
      <c r="X326" s="89"/>
      <c r="Y326" s="89"/>
      <c r="Z326" s="89"/>
      <c r="AA326" s="86"/>
      <c r="AB326" s="86"/>
      <c r="AC326" s="86"/>
      <c r="AD326" s="86"/>
      <c r="AE326" s="86"/>
      <c r="AF326" s="86"/>
      <c r="AG326" s="86">
        <f>C326</f>
        <v>-675000</v>
      </c>
      <c r="AH326" s="86"/>
      <c r="AI326" s="86"/>
      <c r="AJ326" s="86"/>
      <c r="AK326" s="86"/>
      <c r="AL326" s="86"/>
    </row>
    <row r="327" spans="1:38" s="90" customFormat="1" hidden="1">
      <c r="A327" s="354">
        <v>45437</v>
      </c>
      <c r="B327" s="72" t="s">
        <v>1260</v>
      </c>
      <c r="C327" s="93">
        <v>-65000</v>
      </c>
      <c r="D327" s="142" t="s">
        <v>25</v>
      </c>
      <c r="E327" s="142"/>
      <c r="F327" s="142"/>
      <c r="G327" s="86">
        <f>C327</f>
        <v>-65000</v>
      </c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9"/>
      <c r="S327" s="89"/>
      <c r="T327" s="89"/>
      <c r="U327" s="89"/>
      <c r="V327" s="89"/>
      <c r="W327" s="89"/>
      <c r="X327" s="89"/>
      <c r="Y327" s="89"/>
      <c r="Z327" s="89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</row>
    <row r="328" spans="1:38" s="90" customFormat="1" hidden="1">
      <c r="A328" s="354">
        <v>45437</v>
      </c>
      <c r="B328" s="72" t="s">
        <v>590</v>
      </c>
      <c r="C328" s="93">
        <v>-83100</v>
      </c>
      <c r="D328" s="142" t="s">
        <v>27</v>
      </c>
      <c r="E328" s="142"/>
      <c r="F328" s="142"/>
      <c r="G328" s="86"/>
      <c r="H328" s="86"/>
      <c r="I328" s="86">
        <f>C328</f>
        <v>-83100</v>
      </c>
      <c r="J328" s="86"/>
      <c r="K328" s="86"/>
      <c r="L328" s="86"/>
      <c r="M328" s="86"/>
      <c r="N328" s="86"/>
      <c r="O328" s="86"/>
      <c r="P328" s="86"/>
      <c r="Q328" s="86"/>
      <c r="R328" s="89"/>
      <c r="S328" s="89"/>
      <c r="T328" s="89"/>
      <c r="U328" s="89"/>
      <c r="V328" s="89"/>
      <c r="W328" s="89"/>
      <c r="X328" s="89"/>
      <c r="Y328" s="89"/>
      <c r="Z328" s="89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</row>
    <row r="329" spans="1:38" s="90" customFormat="1" hidden="1">
      <c r="A329" s="354">
        <v>45437</v>
      </c>
      <c r="B329" s="72" t="s">
        <v>1261</v>
      </c>
      <c r="C329" s="93">
        <v>-70000</v>
      </c>
      <c r="D329" s="142" t="s">
        <v>453</v>
      </c>
      <c r="E329" s="142"/>
      <c r="F329" s="142"/>
      <c r="G329" s="86"/>
      <c r="H329" s="86"/>
      <c r="I329" s="86"/>
      <c r="J329" s="86"/>
      <c r="K329" s="86">
        <f>C329</f>
        <v>-70000</v>
      </c>
      <c r="L329" s="86"/>
      <c r="M329" s="86"/>
      <c r="N329" s="86"/>
      <c r="O329" s="86"/>
      <c r="P329" s="86"/>
      <c r="Q329" s="86"/>
      <c r="R329" s="89"/>
      <c r="S329" s="89"/>
      <c r="T329" s="89"/>
      <c r="U329" s="89"/>
      <c r="V329" s="89"/>
      <c r="W329" s="89"/>
      <c r="X329" s="89"/>
      <c r="Y329" s="89"/>
      <c r="Z329" s="89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</row>
    <row r="330" spans="1:38" s="90" customFormat="1" hidden="1">
      <c r="A330" s="354">
        <v>45437</v>
      </c>
      <c r="B330" s="72" t="s">
        <v>1262</v>
      </c>
      <c r="C330" s="93">
        <v>-480000</v>
      </c>
      <c r="D330" s="142" t="s">
        <v>27</v>
      </c>
      <c r="E330" s="142"/>
      <c r="F330" s="142"/>
      <c r="G330" s="86"/>
      <c r="H330" s="86"/>
      <c r="I330" s="86">
        <f>C330</f>
        <v>-480000</v>
      </c>
      <c r="J330" s="86"/>
      <c r="K330" s="86"/>
      <c r="L330" s="86"/>
      <c r="M330" s="86"/>
      <c r="N330" s="86"/>
      <c r="O330" s="86"/>
      <c r="P330" s="86"/>
      <c r="Q330" s="86"/>
      <c r="R330" s="89"/>
      <c r="S330" s="89"/>
      <c r="T330" s="89"/>
      <c r="U330" s="89"/>
      <c r="V330" s="89"/>
      <c r="W330" s="89"/>
      <c r="X330" s="89"/>
      <c r="Y330" s="89"/>
      <c r="Z330" s="89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</row>
    <row r="331" spans="1:38" s="90" customFormat="1" hidden="1">
      <c r="A331" s="354">
        <v>45437</v>
      </c>
      <c r="B331" s="72" t="s">
        <v>1263</v>
      </c>
      <c r="C331" s="93">
        <v>-120000</v>
      </c>
      <c r="D331" s="142" t="s">
        <v>233</v>
      </c>
      <c r="E331" s="142"/>
      <c r="F331" s="142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9"/>
      <c r="S331" s="89"/>
      <c r="T331" s="89"/>
      <c r="U331" s="89"/>
      <c r="V331" s="89"/>
      <c r="W331" s="89"/>
      <c r="X331" s="89"/>
      <c r="Y331" s="89"/>
      <c r="Z331" s="89"/>
      <c r="AA331" s="86"/>
      <c r="AB331" s="86"/>
      <c r="AC331" s="86"/>
      <c r="AD331" s="86"/>
      <c r="AE331" s="86"/>
      <c r="AF331" s="86">
        <f>C331</f>
        <v>-120000</v>
      </c>
      <c r="AG331" s="86"/>
      <c r="AH331" s="86"/>
      <c r="AI331" s="86"/>
      <c r="AJ331" s="86"/>
      <c r="AK331" s="86"/>
      <c r="AL331" s="86"/>
    </row>
    <row r="332" spans="1:38" s="90" customFormat="1" hidden="1">
      <c r="A332" s="354">
        <v>45437</v>
      </c>
      <c r="B332" s="72" t="s">
        <v>579</v>
      </c>
      <c r="C332" s="93">
        <v>-96000</v>
      </c>
      <c r="D332" s="142" t="s">
        <v>454</v>
      </c>
      <c r="E332" s="142"/>
      <c r="F332" s="142"/>
      <c r="G332" s="86"/>
      <c r="H332" s="86">
        <f>C332</f>
        <v>-96000</v>
      </c>
      <c r="I332" s="86"/>
      <c r="J332" s="86"/>
      <c r="K332" s="86"/>
      <c r="L332" s="86"/>
      <c r="M332" s="86"/>
      <c r="N332" s="86"/>
      <c r="O332" s="86"/>
      <c r="P332" s="86"/>
      <c r="Q332" s="86"/>
      <c r="R332" s="89"/>
      <c r="S332" s="89"/>
      <c r="T332" s="89"/>
      <c r="U332" s="89"/>
      <c r="V332" s="89"/>
      <c r="W332" s="89"/>
      <c r="X332" s="89"/>
      <c r="Y332" s="89"/>
      <c r="Z332" s="89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</row>
    <row r="333" spans="1:38" s="90" customFormat="1" hidden="1">
      <c r="A333" s="354">
        <v>45437</v>
      </c>
      <c r="B333" s="72" t="s">
        <v>579</v>
      </c>
      <c r="C333" s="93">
        <v>-715000</v>
      </c>
      <c r="D333" s="142" t="s">
        <v>454</v>
      </c>
      <c r="E333" s="142"/>
      <c r="F333" s="142"/>
      <c r="G333" s="86"/>
      <c r="H333" s="86">
        <f>C333</f>
        <v>-715000</v>
      </c>
      <c r="I333" s="86"/>
      <c r="J333" s="86"/>
      <c r="K333" s="86"/>
      <c r="L333" s="86"/>
      <c r="M333" s="86"/>
      <c r="N333" s="86"/>
      <c r="O333" s="86"/>
      <c r="P333" s="86"/>
      <c r="Q333" s="86"/>
      <c r="R333" s="89"/>
      <c r="S333" s="89"/>
      <c r="T333" s="89"/>
      <c r="U333" s="89"/>
      <c r="V333" s="89"/>
      <c r="W333" s="89"/>
      <c r="X333" s="89"/>
      <c r="Y333" s="89"/>
      <c r="Z333" s="89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</row>
    <row r="334" spans="1:38" s="90" customFormat="1" hidden="1">
      <c r="A334" s="354">
        <v>45437</v>
      </c>
      <c r="B334" s="72" t="s">
        <v>1005</v>
      </c>
      <c r="C334" s="93">
        <v>-288000</v>
      </c>
      <c r="D334" s="142" t="s">
        <v>27</v>
      </c>
      <c r="E334" s="142"/>
      <c r="F334" s="142"/>
      <c r="G334" s="86"/>
      <c r="H334" s="86"/>
      <c r="I334" s="86">
        <f>C334</f>
        <v>-288000</v>
      </c>
      <c r="J334" s="86"/>
      <c r="K334" s="86"/>
      <c r="L334" s="86"/>
      <c r="M334" s="86"/>
      <c r="N334" s="86"/>
      <c r="O334" s="86"/>
      <c r="P334" s="86"/>
      <c r="Q334" s="86"/>
      <c r="R334" s="89"/>
      <c r="S334" s="89"/>
      <c r="T334" s="89"/>
      <c r="U334" s="89"/>
      <c r="V334" s="89"/>
      <c r="W334" s="89"/>
      <c r="X334" s="89"/>
      <c r="Y334" s="89"/>
      <c r="Z334" s="89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</row>
    <row r="335" spans="1:38" s="90" customFormat="1" hidden="1">
      <c r="A335" s="354">
        <v>45437</v>
      </c>
      <c r="B335" s="72" t="s">
        <v>591</v>
      </c>
      <c r="C335" s="93">
        <v>-2375000</v>
      </c>
      <c r="D335" s="142" t="s">
        <v>454</v>
      </c>
      <c r="E335" s="142"/>
      <c r="F335" s="142"/>
      <c r="G335" s="86"/>
      <c r="H335" s="86">
        <f>C335</f>
        <v>-2375000</v>
      </c>
      <c r="I335" s="86"/>
      <c r="J335" s="86"/>
      <c r="K335" s="86"/>
      <c r="L335" s="86"/>
      <c r="M335" s="86"/>
      <c r="N335" s="86"/>
      <c r="O335" s="86"/>
      <c r="P335" s="86"/>
      <c r="Q335" s="86"/>
      <c r="R335" s="89"/>
      <c r="S335" s="89"/>
      <c r="T335" s="89"/>
      <c r="U335" s="89"/>
      <c r="V335" s="89"/>
      <c r="W335" s="89"/>
      <c r="X335" s="89"/>
      <c r="Y335" s="89"/>
      <c r="Z335" s="89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</row>
    <row r="336" spans="1:38" s="90" customFormat="1" hidden="1">
      <c r="A336" s="354">
        <v>45437</v>
      </c>
      <c r="B336" s="72" t="s">
        <v>1265</v>
      </c>
      <c r="C336" s="93">
        <v>-93750</v>
      </c>
      <c r="D336" s="142" t="s">
        <v>25</v>
      </c>
      <c r="E336" s="142"/>
      <c r="F336" s="142"/>
      <c r="G336" s="86">
        <f>C336</f>
        <v>-93750</v>
      </c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9"/>
      <c r="S336" s="89"/>
      <c r="T336" s="89"/>
      <c r="U336" s="89"/>
      <c r="V336" s="89"/>
      <c r="W336" s="89"/>
      <c r="X336" s="89"/>
      <c r="Y336" s="89"/>
      <c r="Z336" s="89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</row>
    <row r="337" spans="1:38" s="90" customFormat="1" hidden="1">
      <c r="A337" s="354">
        <v>45437</v>
      </c>
      <c r="B337" s="72" t="s">
        <v>1266</v>
      </c>
      <c r="C337" s="93">
        <v>-65000</v>
      </c>
      <c r="D337" s="142" t="s">
        <v>25</v>
      </c>
      <c r="E337" s="142"/>
      <c r="F337" s="142"/>
      <c r="G337" s="142">
        <f>C337</f>
        <v>-65000</v>
      </c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9"/>
      <c r="S337" s="89"/>
      <c r="T337" s="89"/>
      <c r="U337" s="89"/>
      <c r="V337" s="89"/>
      <c r="W337" s="89"/>
      <c r="X337" s="89"/>
      <c r="Y337" s="89"/>
      <c r="Z337" s="89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</row>
    <row r="338" spans="1:38" s="90" customFormat="1" hidden="1">
      <c r="A338" s="354">
        <v>45437</v>
      </c>
      <c r="B338" s="72" t="s">
        <v>1267</v>
      </c>
      <c r="C338" s="93">
        <v>-65000</v>
      </c>
      <c r="D338" s="142" t="s">
        <v>25</v>
      </c>
      <c r="E338" s="142"/>
      <c r="F338" s="142"/>
      <c r="G338" s="86">
        <f>C338</f>
        <v>-65000</v>
      </c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9"/>
      <c r="S338" s="89"/>
      <c r="T338" s="89"/>
      <c r="U338" s="89"/>
      <c r="V338" s="89"/>
      <c r="W338" s="89"/>
      <c r="X338" s="89"/>
      <c r="Y338" s="89"/>
      <c r="Z338" s="89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</row>
    <row r="339" spans="1:38" s="90" customFormat="1" hidden="1">
      <c r="A339" s="354">
        <v>45437</v>
      </c>
      <c r="B339" s="72" t="s">
        <v>1268</v>
      </c>
      <c r="C339" s="93">
        <v>-400000</v>
      </c>
      <c r="D339" s="142" t="s">
        <v>607</v>
      </c>
      <c r="E339" s="142"/>
      <c r="F339" s="142"/>
      <c r="G339" s="86"/>
      <c r="H339" s="86"/>
      <c r="I339" s="86"/>
      <c r="J339" s="86">
        <f>C339</f>
        <v>-400000</v>
      </c>
      <c r="K339" s="86"/>
      <c r="L339" s="86"/>
      <c r="M339" s="86"/>
      <c r="N339" s="86"/>
      <c r="O339" s="86"/>
      <c r="P339" s="86"/>
      <c r="Q339" s="86"/>
      <c r="R339" s="89"/>
      <c r="S339" s="89"/>
      <c r="T339" s="89"/>
      <c r="U339" s="89"/>
      <c r="V339" s="89"/>
      <c r="W339" s="89"/>
      <c r="X339" s="89"/>
      <c r="Y339" s="89"/>
      <c r="Z339" s="89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</row>
    <row r="340" spans="1:38" s="90" customFormat="1" hidden="1">
      <c r="A340" s="354">
        <v>45437</v>
      </c>
      <c r="B340" s="72" t="s">
        <v>1269</v>
      </c>
      <c r="C340" s="93">
        <v>-120000</v>
      </c>
      <c r="D340" s="142" t="s">
        <v>607</v>
      </c>
      <c r="E340" s="142"/>
      <c r="F340" s="142"/>
      <c r="G340" s="86"/>
      <c r="H340" s="86"/>
      <c r="I340" s="86"/>
      <c r="J340" s="86">
        <f>C340</f>
        <v>-120000</v>
      </c>
      <c r="K340" s="86"/>
      <c r="L340" s="86"/>
      <c r="M340" s="86"/>
      <c r="N340" s="86"/>
      <c r="O340" s="86"/>
      <c r="P340" s="86"/>
      <c r="Q340" s="86"/>
      <c r="R340" s="89"/>
      <c r="S340" s="89"/>
      <c r="T340" s="89"/>
      <c r="U340" s="89"/>
      <c r="V340" s="89"/>
      <c r="W340" s="89"/>
      <c r="X340" s="89"/>
      <c r="Y340" s="89"/>
      <c r="Z340" s="89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</row>
    <row r="341" spans="1:38" s="90" customFormat="1" hidden="1">
      <c r="A341" s="354">
        <v>45437</v>
      </c>
      <c r="B341" s="72" t="s">
        <v>1270</v>
      </c>
      <c r="C341" s="93">
        <v>-120000</v>
      </c>
      <c r="D341" s="142" t="s">
        <v>607</v>
      </c>
      <c r="E341" s="142"/>
      <c r="F341" s="142"/>
      <c r="G341" s="86"/>
      <c r="H341" s="86"/>
      <c r="I341" s="86"/>
      <c r="J341" s="86">
        <f>C341</f>
        <v>-120000</v>
      </c>
      <c r="K341" s="86"/>
      <c r="L341" s="86"/>
      <c r="M341" s="86"/>
      <c r="N341" s="86"/>
      <c r="O341" s="86"/>
      <c r="P341" s="86"/>
      <c r="Q341" s="86"/>
      <c r="R341" s="89"/>
      <c r="S341" s="89"/>
      <c r="T341" s="89"/>
      <c r="U341" s="89"/>
      <c r="V341" s="89"/>
      <c r="W341" s="89"/>
      <c r="X341" s="89"/>
      <c r="Y341" s="89"/>
      <c r="Z341" s="89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</row>
    <row r="342" spans="1:38" s="90" customFormat="1" hidden="1">
      <c r="A342" s="354">
        <v>45437</v>
      </c>
      <c r="B342" s="72" t="s">
        <v>1271</v>
      </c>
      <c r="C342" s="93">
        <v>-100000</v>
      </c>
      <c r="D342" s="142" t="s">
        <v>454</v>
      </c>
      <c r="E342" s="142"/>
      <c r="F342" s="142"/>
      <c r="G342" s="86"/>
      <c r="H342" s="86">
        <f>C342</f>
        <v>-100000</v>
      </c>
      <c r="I342" s="86"/>
      <c r="J342" s="86"/>
      <c r="K342" s="86"/>
      <c r="L342" s="86"/>
      <c r="M342" s="86"/>
      <c r="N342" s="86"/>
      <c r="O342" s="86"/>
      <c r="P342" s="86"/>
      <c r="Q342" s="86"/>
      <c r="R342" s="89"/>
      <c r="S342" s="89"/>
      <c r="T342" s="89"/>
      <c r="U342" s="89"/>
      <c r="V342" s="89"/>
      <c r="W342" s="89"/>
      <c r="X342" s="89"/>
      <c r="Y342" s="89"/>
      <c r="Z342" s="89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</row>
    <row r="343" spans="1:38" s="90" customFormat="1" hidden="1">
      <c r="A343" s="354">
        <v>45437</v>
      </c>
      <c r="B343" s="72" t="s">
        <v>1272</v>
      </c>
      <c r="C343" s="93">
        <v>-18600</v>
      </c>
      <c r="D343" s="142" t="s">
        <v>454</v>
      </c>
      <c r="E343" s="142"/>
      <c r="F343" s="142"/>
      <c r="G343" s="86"/>
      <c r="H343" s="86">
        <f>C343</f>
        <v>-18600</v>
      </c>
      <c r="I343" s="86"/>
      <c r="J343" s="86"/>
      <c r="K343" s="86"/>
      <c r="L343" s="86"/>
      <c r="M343" s="86"/>
      <c r="N343" s="86"/>
      <c r="O343" s="86"/>
      <c r="P343" s="86"/>
      <c r="Q343" s="86"/>
      <c r="R343" s="89"/>
      <c r="S343" s="89"/>
      <c r="T343" s="89"/>
      <c r="U343" s="89"/>
      <c r="V343" s="89"/>
      <c r="W343" s="89"/>
      <c r="X343" s="89"/>
      <c r="Y343" s="89"/>
      <c r="Z343" s="89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</row>
    <row r="344" spans="1:38" s="90" customFormat="1" hidden="1">
      <c r="A344" s="91">
        <v>45438</v>
      </c>
      <c r="B344" s="72" t="s">
        <v>577</v>
      </c>
      <c r="C344" s="93">
        <v>-11000</v>
      </c>
      <c r="D344" s="142" t="s">
        <v>453</v>
      </c>
      <c r="E344" s="86"/>
      <c r="F344" s="86"/>
      <c r="G344" s="86"/>
      <c r="H344" s="86"/>
      <c r="I344" s="86"/>
      <c r="J344" s="86"/>
      <c r="K344" s="86">
        <f>C344</f>
        <v>-11000</v>
      </c>
      <c r="L344" s="86"/>
      <c r="M344" s="86"/>
      <c r="N344" s="86"/>
      <c r="O344" s="86"/>
      <c r="P344" s="86"/>
      <c r="Q344" s="86"/>
      <c r="R344" s="89"/>
      <c r="S344" s="89"/>
      <c r="T344" s="89"/>
      <c r="U344" s="89"/>
      <c r="V344" s="89"/>
      <c r="W344" s="89"/>
      <c r="X344" s="89"/>
      <c r="Y344" s="89"/>
      <c r="Z344" s="89"/>
      <c r="AA344" s="86"/>
      <c r="AB344" s="86"/>
      <c r="AC344" s="86"/>
      <c r="AD344" s="89"/>
      <c r="AE344" s="86"/>
      <c r="AF344" s="89"/>
      <c r="AG344" s="89"/>
      <c r="AH344" s="89"/>
      <c r="AI344" s="86"/>
      <c r="AJ344" s="86"/>
      <c r="AK344" s="86"/>
      <c r="AL344" s="86"/>
    </row>
    <row r="345" spans="1:38" s="90" customFormat="1" hidden="1">
      <c r="A345" s="91">
        <v>45438</v>
      </c>
      <c r="B345" s="72" t="s">
        <v>1238</v>
      </c>
      <c r="C345" s="93">
        <v>-680000</v>
      </c>
      <c r="D345" s="142" t="s">
        <v>454</v>
      </c>
      <c r="E345" s="86"/>
      <c r="F345" s="86"/>
      <c r="G345" s="86"/>
      <c r="H345" s="86">
        <f>C345</f>
        <v>-680000</v>
      </c>
      <c r="I345" s="86"/>
      <c r="J345" s="86"/>
      <c r="K345" s="86"/>
      <c r="L345" s="86"/>
      <c r="M345" s="86"/>
      <c r="N345" s="86"/>
      <c r="O345" s="86"/>
      <c r="P345" s="86"/>
      <c r="Q345" s="86"/>
      <c r="R345" s="89"/>
      <c r="S345" s="89"/>
      <c r="T345" s="89"/>
      <c r="U345" s="89"/>
      <c r="V345" s="89"/>
      <c r="W345" s="89"/>
      <c r="X345" s="89"/>
      <c r="Y345" s="89"/>
      <c r="Z345" s="89"/>
      <c r="AA345" s="86"/>
      <c r="AB345" s="86"/>
      <c r="AC345" s="86"/>
      <c r="AD345" s="89"/>
      <c r="AE345" s="86"/>
      <c r="AF345" s="89"/>
      <c r="AG345" s="89"/>
      <c r="AH345" s="89"/>
      <c r="AI345" s="86"/>
      <c r="AJ345" s="86"/>
      <c r="AK345" s="86"/>
      <c r="AL345" s="86"/>
    </row>
    <row r="346" spans="1:38" s="90" customFormat="1" hidden="1">
      <c r="A346" s="91">
        <v>45438</v>
      </c>
      <c r="B346" s="72" t="s">
        <v>1278</v>
      </c>
      <c r="C346" s="93">
        <v>-260000</v>
      </c>
      <c r="D346" s="142" t="s">
        <v>453</v>
      </c>
      <c r="E346" s="142"/>
      <c r="F346" s="142"/>
      <c r="G346" s="86"/>
      <c r="H346" s="86"/>
      <c r="I346" s="86"/>
      <c r="J346" s="86"/>
      <c r="K346" s="86">
        <f>C346</f>
        <v>-260000</v>
      </c>
      <c r="L346" s="86"/>
      <c r="M346" s="86"/>
      <c r="N346" s="86"/>
      <c r="O346" s="86"/>
      <c r="P346" s="86"/>
      <c r="Q346" s="86"/>
      <c r="R346" s="89"/>
      <c r="S346" s="89"/>
      <c r="T346" s="89"/>
      <c r="U346" s="89"/>
      <c r="V346" s="89"/>
      <c r="W346" s="89"/>
      <c r="X346" s="89"/>
      <c r="Y346" s="89"/>
      <c r="Z346" s="89"/>
      <c r="AA346" s="86"/>
      <c r="AB346" s="86"/>
      <c r="AC346" s="86"/>
      <c r="AD346" s="89"/>
      <c r="AE346" s="86"/>
      <c r="AF346" s="89"/>
      <c r="AG346" s="89"/>
      <c r="AH346" s="89"/>
      <c r="AI346" s="86"/>
      <c r="AJ346" s="86"/>
      <c r="AK346" s="86"/>
      <c r="AL346" s="86"/>
    </row>
    <row r="347" spans="1:38" s="90" customFormat="1" hidden="1">
      <c r="A347" s="91">
        <v>45438</v>
      </c>
      <c r="B347" s="72" t="s">
        <v>1259</v>
      </c>
      <c r="C347" s="93">
        <v>-68000</v>
      </c>
      <c r="D347" s="142" t="s">
        <v>1342</v>
      </c>
      <c r="E347" s="142"/>
      <c r="F347" s="142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9"/>
      <c r="S347" s="89"/>
      <c r="T347" s="89"/>
      <c r="U347" s="89"/>
      <c r="V347" s="89"/>
      <c r="W347" s="89"/>
      <c r="X347" s="89"/>
      <c r="Y347" s="89"/>
      <c r="Z347" s="89"/>
      <c r="AA347" s="86"/>
      <c r="AB347" s="86"/>
      <c r="AC347" s="86"/>
      <c r="AD347" s="89"/>
      <c r="AE347" s="86"/>
      <c r="AF347" s="89"/>
      <c r="AG347" s="89">
        <f>C347</f>
        <v>-68000</v>
      </c>
      <c r="AH347" s="89"/>
      <c r="AI347" s="86"/>
      <c r="AJ347" s="86"/>
      <c r="AK347" s="86"/>
      <c r="AL347" s="86"/>
    </row>
    <row r="348" spans="1:38" s="90" customFormat="1" hidden="1">
      <c r="A348" s="91">
        <v>45438</v>
      </c>
      <c r="B348" s="72" t="s">
        <v>1279</v>
      </c>
      <c r="C348" s="93">
        <v>-65000</v>
      </c>
      <c r="D348" s="142" t="s">
        <v>25</v>
      </c>
      <c r="E348" s="86"/>
      <c r="F348" s="86"/>
      <c r="G348" s="86">
        <f>C348</f>
        <v>-65000</v>
      </c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9"/>
      <c r="S348" s="89"/>
      <c r="T348" s="89"/>
      <c r="U348" s="89"/>
      <c r="V348" s="89"/>
      <c r="W348" s="89"/>
      <c r="X348" s="89"/>
      <c r="Y348" s="89"/>
      <c r="Z348" s="89"/>
      <c r="AA348" s="86"/>
      <c r="AB348" s="86"/>
      <c r="AC348" s="86"/>
      <c r="AD348" s="89"/>
      <c r="AE348" s="86"/>
      <c r="AF348" s="89"/>
      <c r="AG348" s="89"/>
      <c r="AH348" s="89"/>
      <c r="AI348" s="86"/>
      <c r="AJ348" s="86"/>
      <c r="AK348" s="86"/>
      <c r="AL348" s="86"/>
    </row>
    <row r="349" spans="1:38" s="90" customFormat="1" hidden="1">
      <c r="A349" s="91">
        <v>45438</v>
      </c>
      <c r="B349" s="72" t="s">
        <v>591</v>
      </c>
      <c r="C349" s="93">
        <v>-1138500</v>
      </c>
      <c r="D349" s="142" t="s">
        <v>454</v>
      </c>
      <c r="E349" s="86"/>
      <c r="F349" s="86"/>
      <c r="G349" s="86"/>
      <c r="H349" s="86">
        <f>C349</f>
        <v>-1138500</v>
      </c>
      <c r="I349" s="86"/>
      <c r="J349" s="86"/>
      <c r="K349" s="86"/>
      <c r="L349" s="86"/>
      <c r="M349" s="86"/>
      <c r="N349" s="86"/>
      <c r="O349" s="86"/>
      <c r="P349" s="86"/>
      <c r="Q349" s="86"/>
      <c r="R349" s="89"/>
      <c r="S349" s="89"/>
      <c r="T349" s="89"/>
      <c r="U349" s="89"/>
      <c r="V349" s="89"/>
      <c r="W349" s="89"/>
      <c r="X349" s="89"/>
      <c r="Y349" s="89"/>
      <c r="Z349" s="89"/>
      <c r="AA349" s="86"/>
      <c r="AB349" s="86"/>
      <c r="AC349" s="86"/>
      <c r="AD349" s="89"/>
      <c r="AE349" s="86"/>
      <c r="AF349" s="89"/>
      <c r="AG349" s="89"/>
      <c r="AH349" s="89"/>
      <c r="AI349" s="86"/>
      <c r="AJ349" s="86"/>
      <c r="AK349" s="86"/>
      <c r="AL349" s="86"/>
    </row>
    <row r="350" spans="1:38" s="90" customFormat="1" hidden="1">
      <c r="A350" s="91">
        <v>45438</v>
      </c>
      <c r="B350" s="72" t="s">
        <v>1280</v>
      </c>
      <c r="C350" s="93">
        <v>-65000</v>
      </c>
      <c r="D350" s="142" t="s">
        <v>25</v>
      </c>
      <c r="E350" s="142"/>
      <c r="F350" s="142"/>
      <c r="G350" s="86">
        <f>C350</f>
        <v>-65000</v>
      </c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9"/>
      <c r="S350" s="89"/>
      <c r="T350" s="89"/>
      <c r="U350" s="89"/>
      <c r="V350" s="89"/>
      <c r="W350" s="89"/>
      <c r="X350" s="89"/>
      <c r="Y350" s="89"/>
      <c r="Z350" s="89"/>
      <c r="AA350" s="86"/>
      <c r="AB350" s="86"/>
      <c r="AC350" s="86"/>
      <c r="AD350" s="89"/>
      <c r="AE350" s="86"/>
      <c r="AF350" s="89"/>
      <c r="AG350" s="89"/>
      <c r="AH350" s="89"/>
      <c r="AI350" s="86"/>
      <c r="AJ350" s="86"/>
      <c r="AK350" s="86"/>
      <c r="AL350" s="86"/>
    </row>
    <row r="351" spans="1:38" s="90" customFormat="1" hidden="1">
      <c r="A351" s="91">
        <v>45438</v>
      </c>
      <c r="B351" s="72" t="s">
        <v>591</v>
      </c>
      <c r="C351" s="93">
        <v>-2329000</v>
      </c>
      <c r="D351" s="142" t="s">
        <v>454</v>
      </c>
      <c r="E351" s="142"/>
      <c r="F351" s="142"/>
      <c r="G351" s="86"/>
      <c r="H351" s="86">
        <f>C351</f>
        <v>-2329000</v>
      </c>
      <c r="I351" s="86"/>
      <c r="J351" s="86"/>
      <c r="K351" s="86"/>
      <c r="L351" s="86"/>
      <c r="M351" s="86"/>
      <c r="N351" s="86"/>
      <c r="O351" s="86"/>
      <c r="P351" s="86"/>
      <c r="Q351" s="86"/>
      <c r="R351" s="89"/>
      <c r="S351" s="89"/>
      <c r="T351" s="89"/>
      <c r="U351" s="89"/>
      <c r="V351" s="89"/>
      <c r="W351" s="89"/>
      <c r="X351" s="89"/>
      <c r="Y351" s="89"/>
      <c r="Z351" s="89"/>
      <c r="AA351" s="86"/>
      <c r="AB351" s="86"/>
      <c r="AC351" s="86"/>
      <c r="AD351" s="89"/>
      <c r="AE351" s="86"/>
      <c r="AF351" s="89"/>
      <c r="AG351" s="89"/>
      <c r="AH351" s="89"/>
      <c r="AI351" s="86"/>
      <c r="AJ351" s="86"/>
      <c r="AK351" s="86"/>
      <c r="AL351" s="86"/>
    </row>
    <row r="352" spans="1:38" s="90" customFormat="1" hidden="1">
      <c r="A352" s="91">
        <v>45438</v>
      </c>
      <c r="B352" s="72" t="s">
        <v>1282</v>
      </c>
      <c r="C352" s="93">
        <v>-93750</v>
      </c>
      <c r="D352" s="142" t="s">
        <v>25</v>
      </c>
      <c r="E352" s="142"/>
      <c r="F352" s="142"/>
      <c r="G352" s="86">
        <f>C352</f>
        <v>-93750</v>
      </c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9"/>
      <c r="S352" s="89"/>
      <c r="T352" s="89"/>
      <c r="U352" s="89"/>
      <c r="V352" s="89"/>
      <c r="W352" s="89"/>
      <c r="X352" s="89"/>
      <c r="Y352" s="89"/>
      <c r="Z352" s="89"/>
      <c r="AA352" s="86"/>
      <c r="AB352" s="86"/>
      <c r="AC352" s="86"/>
      <c r="AD352" s="89"/>
      <c r="AE352" s="86"/>
      <c r="AF352" s="89"/>
      <c r="AG352" s="89"/>
      <c r="AH352" s="89"/>
      <c r="AI352" s="86"/>
      <c r="AJ352" s="86"/>
      <c r="AK352" s="86"/>
      <c r="AL352" s="86"/>
    </row>
    <row r="353" spans="1:38" s="90" customFormat="1" hidden="1">
      <c r="A353" s="91">
        <v>45438</v>
      </c>
      <c r="B353" s="72" t="s">
        <v>591</v>
      </c>
      <c r="C353" s="93">
        <v>-27900</v>
      </c>
      <c r="D353" s="142" t="s">
        <v>454</v>
      </c>
      <c r="E353" s="142"/>
      <c r="F353" s="142"/>
      <c r="G353" s="86"/>
      <c r="H353" s="86">
        <f>C353</f>
        <v>-27900</v>
      </c>
      <c r="I353" s="86"/>
      <c r="J353" s="86"/>
      <c r="K353" s="86"/>
      <c r="L353" s="86"/>
      <c r="M353" s="86"/>
      <c r="N353" s="86"/>
      <c r="O353" s="86"/>
      <c r="P353" s="86"/>
      <c r="Q353" s="86"/>
      <c r="R353" s="89"/>
      <c r="S353" s="89"/>
      <c r="T353" s="89"/>
      <c r="U353" s="89"/>
      <c r="V353" s="89"/>
      <c r="W353" s="89"/>
      <c r="X353" s="89"/>
      <c r="Y353" s="89"/>
      <c r="Z353" s="89"/>
      <c r="AA353" s="86"/>
      <c r="AB353" s="86"/>
      <c r="AC353" s="86"/>
      <c r="AD353" s="89"/>
      <c r="AE353" s="86"/>
      <c r="AF353" s="89"/>
      <c r="AG353" s="89"/>
      <c r="AH353" s="89"/>
      <c r="AI353" s="86"/>
      <c r="AJ353" s="86"/>
      <c r="AK353" s="86"/>
      <c r="AL353" s="86"/>
    </row>
    <row r="354" spans="1:38" s="90" customFormat="1" hidden="1">
      <c r="A354" s="91">
        <v>45439</v>
      </c>
      <c r="B354" s="72" t="s">
        <v>577</v>
      </c>
      <c r="C354" s="93">
        <v>-11000</v>
      </c>
      <c r="D354" s="142" t="s">
        <v>453</v>
      </c>
      <c r="E354" s="86"/>
      <c r="F354" s="86"/>
      <c r="G354" s="86"/>
      <c r="H354" s="86"/>
      <c r="I354" s="86"/>
      <c r="J354" s="86"/>
      <c r="K354" s="86">
        <f>C354</f>
        <v>-11000</v>
      </c>
      <c r="L354" s="86"/>
      <c r="M354" s="86"/>
      <c r="N354" s="86"/>
      <c r="O354" s="86"/>
      <c r="P354" s="86"/>
      <c r="Q354" s="86"/>
      <c r="R354" s="89"/>
      <c r="S354" s="89"/>
      <c r="T354" s="89"/>
      <c r="U354" s="89"/>
      <c r="V354" s="89"/>
      <c r="W354" s="89"/>
      <c r="X354" s="89"/>
      <c r="Y354" s="89"/>
      <c r="Z354" s="89"/>
      <c r="AA354" s="86"/>
      <c r="AB354" s="86"/>
      <c r="AC354" s="86"/>
      <c r="AD354" s="89"/>
      <c r="AE354" s="86"/>
      <c r="AF354" s="89"/>
      <c r="AG354" s="89"/>
      <c r="AH354" s="89"/>
      <c r="AI354" s="86"/>
      <c r="AJ354" s="86"/>
      <c r="AK354" s="86"/>
      <c r="AL354" s="86"/>
    </row>
    <row r="355" spans="1:38" s="90" customFormat="1" hidden="1">
      <c r="A355" s="91">
        <v>45439</v>
      </c>
      <c r="B355" s="72" t="s">
        <v>584</v>
      </c>
      <c r="C355" s="93">
        <v>-1059000</v>
      </c>
      <c r="D355" s="142" t="s">
        <v>454</v>
      </c>
      <c r="E355" s="142"/>
      <c r="F355" s="142"/>
      <c r="G355" s="86"/>
      <c r="H355" s="86">
        <f>C355</f>
        <v>-1059000</v>
      </c>
      <c r="I355" s="86"/>
      <c r="J355" s="86"/>
      <c r="K355" s="86"/>
      <c r="L355" s="86"/>
      <c r="M355" s="86"/>
      <c r="N355" s="86"/>
      <c r="O355" s="86"/>
      <c r="P355" s="86"/>
      <c r="Q355" s="86"/>
      <c r="R355" s="89"/>
      <c r="S355" s="89"/>
      <c r="T355" s="89"/>
      <c r="U355" s="89"/>
      <c r="V355" s="89"/>
      <c r="W355" s="89"/>
      <c r="X355" s="89"/>
      <c r="Y355" s="89"/>
      <c r="Z355" s="89"/>
      <c r="AA355" s="86"/>
      <c r="AB355" s="86"/>
      <c r="AC355" s="86"/>
      <c r="AD355" s="89"/>
      <c r="AE355" s="86"/>
      <c r="AF355" s="89"/>
      <c r="AG355" s="89"/>
      <c r="AH355" s="89"/>
      <c r="AI355" s="86"/>
      <c r="AJ355" s="86"/>
      <c r="AK355" s="86"/>
      <c r="AL355" s="86"/>
    </row>
    <row r="356" spans="1:38" s="90" customFormat="1" hidden="1">
      <c r="A356" s="91">
        <v>45439</v>
      </c>
      <c r="B356" s="72" t="s">
        <v>1285</v>
      </c>
      <c r="C356" s="93">
        <v>-65000</v>
      </c>
      <c r="D356" s="142" t="s">
        <v>25</v>
      </c>
      <c r="E356" s="142"/>
      <c r="F356" s="142"/>
      <c r="G356" s="86">
        <f>C356</f>
        <v>-65000</v>
      </c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9"/>
      <c r="S356" s="89"/>
      <c r="T356" s="89"/>
      <c r="U356" s="89"/>
      <c r="V356" s="89"/>
      <c r="W356" s="89"/>
      <c r="X356" s="89"/>
      <c r="Y356" s="89"/>
      <c r="Z356" s="89"/>
      <c r="AA356" s="86"/>
      <c r="AB356" s="86"/>
      <c r="AC356" s="86"/>
      <c r="AD356" s="89"/>
      <c r="AE356" s="86"/>
      <c r="AF356" s="89"/>
      <c r="AG356" s="89"/>
      <c r="AH356" s="89"/>
      <c r="AI356" s="86"/>
      <c r="AJ356" s="86"/>
      <c r="AK356" s="86"/>
      <c r="AL356" s="86"/>
    </row>
    <row r="357" spans="1:38" s="90" customFormat="1" hidden="1">
      <c r="A357" s="91">
        <v>45439</v>
      </c>
      <c r="B357" s="72" t="s">
        <v>1286</v>
      </c>
      <c r="C357" s="93">
        <v>-65000</v>
      </c>
      <c r="D357" s="142" t="s">
        <v>25</v>
      </c>
      <c r="E357" s="142"/>
      <c r="F357" s="142"/>
      <c r="G357" s="86">
        <f>C357</f>
        <v>-65000</v>
      </c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9"/>
      <c r="S357" s="89"/>
      <c r="T357" s="89"/>
      <c r="U357" s="89"/>
      <c r="V357" s="89"/>
      <c r="W357" s="89"/>
      <c r="X357" s="89"/>
      <c r="Y357" s="89"/>
      <c r="Z357" s="89"/>
      <c r="AA357" s="86"/>
      <c r="AB357" s="86"/>
      <c r="AC357" s="86"/>
      <c r="AD357" s="89"/>
      <c r="AE357" s="86"/>
      <c r="AF357" s="89"/>
      <c r="AG357" s="89"/>
      <c r="AH357" s="89"/>
      <c r="AI357" s="86"/>
      <c r="AJ357" s="86"/>
      <c r="AK357" s="86"/>
      <c r="AL357" s="86"/>
    </row>
    <row r="358" spans="1:38" s="90" customFormat="1" hidden="1">
      <c r="A358" s="91">
        <v>45439</v>
      </c>
      <c r="B358" s="72" t="s">
        <v>591</v>
      </c>
      <c r="C358" s="93">
        <v>-1838500</v>
      </c>
      <c r="D358" s="142" t="s">
        <v>454</v>
      </c>
      <c r="E358" s="142"/>
      <c r="F358" s="142"/>
      <c r="G358" s="86"/>
      <c r="H358" s="86">
        <f>C358</f>
        <v>-1838500</v>
      </c>
      <c r="I358" s="86"/>
      <c r="J358" s="86"/>
      <c r="K358" s="86"/>
      <c r="L358" s="86"/>
      <c r="M358" s="86"/>
      <c r="N358" s="86"/>
      <c r="O358" s="86"/>
      <c r="P358" s="86"/>
      <c r="Q358" s="86"/>
      <c r="R358" s="89"/>
      <c r="S358" s="89"/>
      <c r="T358" s="89"/>
      <c r="U358" s="89"/>
      <c r="V358" s="89"/>
      <c r="W358" s="89"/>
      <c r="X358" s="89"/>
      <c r="Y358" s="89"/>
      <c r="Z358" s="89"/>
      <c r="AA358" s="86"/>
      <c r="AB358" s="86"/>
      <c r="AC358" s="86"/>
      <c r="AD358" s="89"/>
      <c r="AE358" s="86"/>
      <c r="AF358" s="89"/>
      <c r="AG358" s="89"/>
      <c r="AH358" s="89"/>
      <c r="AI358" s="86"/>
      <c r="AJ358" s="86"/>
      <c r="AK358" s="86"/>
      <c r="AL358" s="86"/>
    </row>
    <row r="359" spans="1:38" s="90" customFormat="1" hidden="1">
      <c r="A359" s="91">
        <v>45439</v>
      </c>
      <c r="B359" s="72" t="s">
        <v>971</v>
      </c>
      <c r="C359" s="93">
        <v>-642000</v>
      </c>
      <c r="D359" s="142" t="s">
        <v>454</v>
      </c>
      <c r="E359" s="142"/>
      <c r="F359" s="142"/>
      <c r="G359" s="86"/>
      <c r="H359" s="86">
        <f>C359</f>
        <v>-642000</v>
      </c>
      <c r="I359" s="86"/>
      <c r="J359" s="86"/>
      <c r="K359" s="86"/>
      <c r="L359" s="86"/>
      <c r="M359" s="86"/>
      <c r="N359" s="86"/>
      <c r="O359" s="86"/>
      <c r="P359" s="86"/>
      <c r="Q359" s="86"/>
      <c r="R359" s="89"/>
      <c r="S359" s="89"/>
      <c r="T359" s="89"/>
      <c r="U359" s="89"/>
      <c r="V359" s="89"/>
      <c r="W359" s="89"/>
      <c r="X359" s="89"/>
      <c r="Y359" s="89"/>
      <c r="Z359" s="89"/>
      <c r="AA359" s="86"/>
      <c r="AB359" s="86"/>
      <c r="AC359" s="86"/>
      <c r="AD359" s="89"/>
      <c r="AE359" s="86"/>
      <c r="AF359" s="89"/>
      <c r="AG359" s="89"/>
      <c r="AH359" s="89"/>
      <c r="AI359" s="86"/>
      <c r="AJ359" s="86"/>
      <c r="AK359" s="86"/>
      <c r="AL359" s="86"/>
    </row>
    <row r="360" spans="1:38" s="90" customFormat="1" hidden="1">
      <c r="A360" s="91">
        <v>45439</v>
      </c>
      <c r="B360" s="72" t="s">
        <v>1288</v>
      </c>
      <c r="C360" s="93">
        <v>-100000</v>
      </c>
      <c r="D360" s="142" t="s">
        <v>1343</v>
      </c>
      <c r="E360" s="142"/>
      <c r="F360" s="142"/>
      <c r="G360" s="86"/>
      <c r="H360" s="86"/>
      <c r="I360" s="86"/>
      <c r="J360" s="86"/>
      <c r="K360" s="86"/>
      <c r="L360" s="86"/>
      <c r="M360" s="86">
        <f>C360</f>
        <v>-100000</v>
      </c>
      <c r="N360" s="86"/>
      <c r="O360" s="86"/>
      <c r="P360" s="86"/>
      <c r="Q360" s="86"/>
      <c r="R360" s="89"/>
      <c r="S360" s="89"/>
      <c r="T360" s="89"/>
      <c r="U360" s="89"/>
      <c r="V360" s="89"/>
      <c r="W360" s="89"/>
      <c r="X360" s="89"/>
      <c r="Y360" s="89"/>
      <c r="Z360" s="89"/>
      <c r="AA360" s="86"/>
      <c r="AB360" s="86"/>
      <c r="AC360" s="86"/>
      <c r="AD360" s="89"/>
      <c r="AE360" s="86"/>
      <c r="AF360" s="89"/>
      <c r="AG360" s="89"/>
      <c r="AH360" s="89"/>
      <c r="AI360" s="86"/>
      <c r="AJ360" s="86"/>
      <c r="AK360" s="86"/>
      <c r="AL360" s="86"/>
    </row>
    <row r="361" spans="1:38" s="90" customFormat="1" hidden="1">
      <c r="A361" s="91">
        <v>45439</v>
      </c>
      <c r="B361" s="72" t="s">
        <v>1289</v>
      </c>
      <c r="C361" s="93">
        <v>-262000</v>
      </c>
      <c r="D361" s="142" t="s">
        <v>1342</v>
      </c>
      <c r="E361" s="142"/>
      <c r="F361" s="142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9"/>
      <c r="S361" s="89"/>
      <c r="T361" s="89"/>
      <c r="U361" s="89"/>
      <c r="V361" s="89"/>
      <c r="W361" s="89"/>
      <c r="X361" s="89"/>
      <c r="Y361" s="89"/>
      <c r="Z361" s="89"/>
      <c r="AA361" s="86"/>
      <c r="AB361" s="86"/>
      <c r="AC361" s="86"/>
      <c r="AD361" s="89"/>
      <c r="AE361" s="86"/>
      <c r="AF361" s="89"/>
      <c r="AG361" s="89">
        <f>C361</f>
        <v>-262000</v>
      </c>
      <c r="AH361" s="89"/>
      <c r="AI361" s="86"/>
      <c r="AJ361" s="86"/>
      <c r="AK361" s="86"/>
      <c r="AL361" s="86"/>
    </row>
    <row r="362" spans="1:38" s="90" customFormat="1" hidden="1">
      <c r="A362" s="91">
        <v>45439</v>
      </c>
      <c r="B362" s="72" t="s">
        <v>1234</v>
      </c>
      <c r="C362" s="93">
        <v>-589000</v>
      </c>
      <c r="D362" s="142" t="s">
        <v>1344</v>
      </c>
      <c r="E362" s="142"/>
      <c r="F362" s="142"/>
      <c r="G362" s="86"/>
      <c r="H362" s="86"/>
      <c r="I362" s="86"/>
      <c r="J362" s="86">
        <f>C362</f>
        <v>-589000</v>
      </c>
      <c r="K362" s="86"/>
      <c r="L362" s="86"/>
      <c r="M362" s="86"/>
      <c r="N362" s="86"/>
      <c r="O362" s="86"/>
      <c r="P362" s="86"/>
      <c r="Q362" s="86"/>
      <c r="R362" s="89"/>
      <c r="S362" s="89"/>
      <c r="T362" s="89"/>
      <c r="U362" s="89"/>
      <c r="V362" s="89"/>
      <c r="W362" s="89"/>
      <c r="X362" s="89"/>
      <c r="Y362" s="89"/>
      <c r="Z362" s="89"/>
      <c r="AA362" s="86"/>
      <c r="AB362" s="86"/>
      <c r="AC362" s="86"/>
      <c r="AD362" s="89"/>
      <c r="AE362" s="86"/>
      <c r="AF362" s="89"/>
      <c r="AG362" s="89"/>
      <c r="AH362" s="89"/>
      <c r="AI362" s="86"/>
      <c r="AJ362" s="86"/>
      <c r="AK362" s="86"/>
      <c r="AL362" s="86"/>
    </row>
    <row r="363" spans="1:38" s="90" customFormat="1" hidden="1">
      <c r="A363" s="91">
        <v>45439</v>
      </c>
      <c r="B363" s="72" t="s">
        <v>1291</v>
      </c>
      <c r="C363" s="93">
        <v>-360000</v>
      </c>
      <c r="D363" s="142" t="s">
        <v>1342</v>
      </c>
      <c r="E363" s="142"/>
      <c r="F363" s="142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9"/>
      <c r="S363" s="89"/>
      <c r="T363" s="89"/>
      <c r="U363" s="89"/>
      <c r="V363" s="89"/>
      <c r="W363" s="89"/>
      <c r="X363" s="89"/>
      <c r="Y363" s="89"/>
      <c r="Z363" s="89"/>
      <c r="AA363" s="86"/>
      <c r="AB363" s="86"/>
      <c r="AC363" s="86"/>
      <c r="AD363" s="89"/>
      <c r="AE363" s="86"/>
      <c r="AF363" s="89"/>
      <c r="AG363" s="89">
        <f>C363</f>
        <v>-360000</v>
      </c>
      <c r="AH363" s="89"/>
      <c r="AI363" s="86"/>
      <c r="AJ363" s="86"/>
      <c r="AK363" s="86"/>
      <c r="AL363" s="86"/>
    </row>
    <row r="364" spans="1:38" s="90" customFormat="1" hidden="1">
      <c r="A364" s="91">
        <v>45439</v>
      </c>
      <c r="B364" s="72" t="s">
        <v>1292</v>
      </c>
      <c r="C364" s="93">
        <v>-1800000</v>
      </c>
      <c r="D364" s="142" t="s">
        <v>27</v>
      </c>
      <c r="E364" s="142"/>
      <c r="F364" s="142"/>
      <c r="G364" s="86"/>
      <c r="H364" s="86"/>
      <c r="I364" s="86">
        <f>C364</f>
        <v>-1800000</v>
      </c>
      <c r="J364" s="86"/>
      <c r="K364" s="86"/>
      <c r="L364" s="86"/>
      <c r="M364" s="86"/>
      <c r="N364" s="86"/>
      <c r="O364" s="86"/>
      <c r="P364" s="86"/>
      <c r="Q364" s="86"/>
      <c r="R364" s="89"/>
      <c r="S364" s="89"/>
      <c r="T364" s="89"/>
      <c r="U364" s="89"/>
      <c r="V364" s="89"/>
      <c r="W364" s="89"/>
      <c r="X364" s="89"/>
      <c r="Y364" s="89"/>
      <c r="Z364" s="89"/>
      <c r="AA364" s="86"/>
      <c r="AB364" s="86"/>
      <c r="AC364" s="86"/>
      <c r="AD364" s="89"/>
      <c r="AE364" s="86"/>
      <c r="AF364" s="89"/>
      <c r="AG364" s="89"/>
      <c r="AH364" s="89"/>
      <c r="AI364" s="86"/>
      <c r="AJ364" s="86"/>
      <c r="AK364" s="86"/>
      <c r="AL364" s="86"/>
    </row>
    <row r="365" spans="1:38" s="90" customFormat="1" hidden="1">
      <c r="A365" s="91">
        <v>45439</v>
      </c>
      <c r="B365" s="72" t="s">
        <v>1293</v>
      </c>
      <c r="C365" s="93">
        <v>-75000</v>
      </c>
      <c r="D365" s="142" t="s">
        <v>25</v>
      </c>
      <c r="E365" s="142"/>
      <c r="F365" s="142"/>
      <c r="G365" s="86">
        <f>C365</f>
        <v>-75000</v>
      </c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9"/>
      <c r="S365" s="89"/>
      <c r="T365" s="89"/>
      <c r="U365" s="89"/>
      <c r="V365" s="89"/>
      <c r="W365" s="89"/>
      <c r="X365" s="89"/>
      <c r="Y365" s="89"/>
      <c r="Z365" s="89"/>
      <c r="AA365" s="86"/>
      <c r="AB365" s="86"/>
      <c r="AC365" s="86"/>
      <c r="AD365" s="89"/>
      <c r="AE365" s="86"/>
      <c r="AF365" s="89"/>
      <c r="AG365" s="89"/>
      <c r="AH365" s="89"/>
      <c r="AI365" s="86"/>
      <c r="AJ365" s="86"/>
      <c r="AK365" s="86"/>
      <c r="AL365" s="86"/>
    </row>
    <row r="366" spans="1:38" s="90" customFormat="1" hidden="1">
      <c r="A366" s="91">
        <v>45439</v>
      </c>
      <c r="B366" s="72" t="s">
        <v>1233</v>
      </c>
      <c r="C366" s="93">
        <v>-545000</v>
      </c>
      <c r="D366" s="142" t="s">
        <v>454</v>
      </c>
      <c r="E366" s="142"/>
      <c r="F366" s="142"/>
      <c r="G366" s="86"/>
      <c r="H366" s="86">
        <f>C366</f>
        <v>-545000</v>
      </c>
      <c r="I366" s="86"/>
      <c r="J366" s="86"/>
      <c r="K366" s="86"/>
      <c r="L366" s="86"/>
      <c r="M366" s="86"/>
      <c r="N366" s="86"/>
      <c r="O366" s="86"/>
      <c r="P366" s="86"/>
      <c r="Q366" s="86"/>
      <c r="R366" s="89"/>
      <c r="S366" s="89"/>
      <c r="T366" s="89"/>
      <c r="U366" s="89"/>
      <c r="V366" s="89"/>
      <c r="W366" s="89"/>
      <c r="X366" s="89"/>
      <c r="Y366" s="89"/>
      <c r="Z366" s="89"/>
      <c r="AA366" s="86"/>
      <c r="AB366" s="86"/>
      <c r="AC366" s="86"/>
      <c r="AD366" s="89"/>
      <c r="AE366" s="86"/>
      <c r="AF366" s="89"/>
      <c r="AG366" s="89"/>
      <c r="AH366" s="89"/>
      <c r="AI366" s="86"/>
      <c r="AJ366" s="86"/>
      <c r="AK366" s="86"/>
      <c r="AL366" s="86"/>
    </row>
    <row r="367" spans="1:38" s="90" customFormat="1" hidden="1">
      <c r="A367" s="91">
        <v>45440</v>
      </c>
      <c r="B367" s="72" t="s">
        <v>577</v>
      </c>
      <c r="C367" s="93">
        <v>-11000</v>
      </c>
      <c r="D367" s="142" t="s">
        <v>453</v>
      </c>
      <c r="E367" s="142"/>
      <c r="F367" s="142"/>
      <c r="G367" s="86"/>
      <c r="H367" s="86"/>
      <c r="I367" s="86"/>
      <c r="J367" s="86"/>
      <c r="K367" s="86">
        <f>C367</f>
        <v>-11000</v>
      </c>
      <c r="L367" s="86"/>
      <c r="M367" s="86"/>
      <c r="N367" s="86"/>
      <c r="O367" s="86"/>
      <c r="P367" s="86"/>
      <c r="Q367" s="86"/>
      <c r="R367" s="89"/>
      <c r="S367" s="89"/>
      <c r="T367" s="89"/>
      <c r="U367" s="89"/>
      <c r="V367" s="89"/>
      <c r="W367" s="89"/>
      <c r="X367" s="89"/>
      <c r="Y367" s="89"/>
      <c r="Z367" s="89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</row>
    <row r="368" spans="1:38" s="90" customFormat="1" hidden="1">
      <c r="A368" s="91">
        <v>45440</v>
      </c>
      <c r="B368" s="72" t="s">
        <v>1294</v>
      </c>
      <c r="C368" s="93">
        <v>-10000</v>
      </c>
      <c r="D368" s="142" t="s">
        <v>492</v>
      </c>
      <c r="E368" s="142"/>
      <c r="F368" s="142"/>
      <c r="G368" s="86"/>
      <c r="H368" s="86"/>
      <c r="I368" s="86"/>
      <c r="J368" s="86"/>
      <c r="K368" s="86"/>
      <c r="L368" s="86">
        <f>C368</f>
        <v>-10000</v>
      </c>
      <c r="M368" s="86"/>
      <c r="N368" s="86"/>
      <c r="O368" s="86"/>
      <c r="P368" s="86"/>
      <c r="Q368" s="86"/>
      <c r="R368" s="89"/>
      <c r="S368" s="89"/>
      <c r="T368" s="89"/>
      <c r="U368" s="89"/>
      <c r="V368" s="89"/>
      <c r="W368" s="89"/>
      <c r="X368" s="89"/>
      <c r="Y368" s="89"/>
      <c r="Z368" s="89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</row>
    <row r="369" spans="1:38" s="90" customFormat="1" hidden="1">
      <c r="A369" s="91">
        <v>45440</v>
      </c>
      <c r="B369" s="72" t="s">
        <v>1295</v>
      </c>
      <c r="C369" s="93">
        <v>-1000000</v>
      </c>
      <c r="D369" s="142" t="s">
        <v>1342</v>
      </c>
      <c r="E369" s="142"/>
      <c r="F369" s="142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9"/>
      <c r="S369" s="89"/>
      <c r="T369" s="89"/>
      <c r="U369" s="89"/>
      <c r="V369" s="89"/>
      <c r="W369" s="89"/>
      <c r="X369" s="89"/>
      <c r="Y369" s="89"/>
      <c r="Z369" s="89"/>
      <c r="AA369" s="86"/>
      <c r="AB369" s="86"/>
      <c r="AC369" s="86"/>
      <c r="AD369" s="86"/>
      <c r="AE369" s="86"/>
      <c r="AF369" s="86"/>
      <c r="AG369" s="86">
        <f>C369</f>
        <v>-1000000</v>
      </c>
      <c r="AH369" s="86"/>
      <c r="AI369" s="86"/>
      <c r="AJ369" s="86"/>
      <c r="AK369" s="86"/>
      <c r="AL369" s="86"/>
    </row>
    <row r="370" spans="1:38" s="90" customFormat="1" hidden="1">
      <c r="A370" s="91">
        <v>45440</v>
      </c>
      <c r="B370" s="72" t="s">
        <v>1296</v>
      </c>
      <c r="C370" s="93">
        <v>-65000</v>
      </c>
      <c r="D370" s="142" t="s">
        <v>25</v>
      </c>
      <c r="E370" s="142"/>
      <c r="F370" s="142"/>
      <c r="G370" s="86">
        <f>C370</f>
        <v>-65000</v>
      </c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9"/>
      <c r="S370" s="89"/>
      <c r="T370" s="89"/>
      <c r="U370" s="89"/>
      <c r="V370" s="89"/>
      <c r="W370" s="89"/>
      <c r="X370" s="89"/>
      <c r="Y370" s="89"/>
      <c r="Z370" s="89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</row>
    <row r="371" spans="1:38" s="90" customFormat="1" hidden="1">
      <c r="A371" s="91">
        <v>45440</v>
      </c>
      <c r="B371" s="72" t="s">
        <v>591</v>
      </c>
      <c r="C371" s="93">
        <v>-2919500</v>
      </c>
      <c r="D371" s="142" t="s">
        <v>454</v>
      </c>
      <c r="E371" s="142"/>
      <c r="F371" s="142"/>
      <c r="G371" s="86"/>
      <c r="H371" s="86">
        <f>C371</f>
        <v>-2919500</v>
      </c>
      <c r="I371" s="86"/>
      <c r="J371" s="86"/>
      <c r="K371" s="86"/>
      <c r="L371" s="86"/>
      <c r="M371" s="86"/>
      <c r="N371" s="86"/>
      <c r="O371" s="86"/>
      <c r="P371" s="86"/>
      <c r="Q371" s="86"/>
      <c r="R371" s="89"/>
      <c r="S371" s="89"/>
      <c r="T371" s="89"/>
      <c r="U371" s="89"/>
      <c r="V371" s="89"/>
      <c r="W371" s="89"/>
      <c r="X371" s="89"/>
      <c r="Y371" s="89"/>
      <c r="Z371" s="89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</row>
    <row r="372" spans="1:38" s="90" customFormat="1" hidden="1">
      <c r="A372" s="91">
        <v>45440</v>
      </c>
      <c r="B372" s="72" t="s">
        <v>1297</v>
      </c>
      <c r="C372" s="93">
        <v>-418000</v>
      </c>
      <c r="D372" s="142" t="s">
        <v>454</v>
      </c>
      <c r="E372" s="142"/>
      <c r="F372" s="142"/>
      <c r="G372" s="86"/>
      <c r="H372" s="86">
        <f>C372</f>
        <v>-418000</v>
      </c>
      <c r="I372" s="86"/>
      <c r="J372" s="86"/>
      <c r="K372" s="86"/>
      <c r="L372" s="86"/>
      <c r="M372" s="86"/>
      <c r="N372" s="86"/>
      <c r="O372" s="86"/>
      <c r="P372" s="86"/>
      <c r="Q372" s="86"/>
      <c r="R372" s="89"/>
      <c r="S372" s="89"/>
      <c r="T372" s="89"/>
      <c r="U372" s="89"/>
      <c r="V372" s="89"/>
      <c r="W372" s="89"/>
      <c r="X372" s="89"/>
      <c r="Y372" s="89"/>
      <c r="Z372" s="89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</row>
    <row r="373" spans="1:38" s="90" customFormat="1" hidden="1">
      <c r="A373" s="91">
        <v>45440</v>
      </c>
      <c r="B373" s="72" t="s">
        <v>1241</v>
      </c>
      <c r="C373" s="93">
        <v>-717500</v>
      </c>
      <c r="D373" s="142" t="s">
        <v>1342</v>
      </c>
      <c r="E373" s="142"/>
      <c r="F373" s="142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9"/>
      <c r="S373" s="89"/>
      <c r="T373" s="89"/>
      <c r="U373" s="89"/>
      <c r="V373" s="89"/>
      <c r="W373" s="89"/>
      <c r="X373" s="89"/>
      <c r="Y373" s="89"/>
      <c r="Z373" s="89"/>
      <c r="AA373" s="86"/>
      <c r="AB373" s="86"/>
      <c r="AC373" s="86"/>
      <c r="AD373" s="86"/>
      <c r="AE373" s="86"/>
      <c r="AF373" s="86"/>
      <c r="AG373" s="86">
        <f>C373</f>
        <v>-717500</v>
      </c>
      <c r="AH373" s="86"/>
      <c r="AI373" s="86"/>
      <c r="AJ373" s="86"/>
      <c r="AK373" s="86"/>
      <c r="AL373" s="86"/>
    </row>
    <row r="374" spans="1:38" s="90" customFormat="1" hidden="1">
      <c r="A374" s="91">
        <v>45440</v>
      </c>
      <c r="B374" s="72" t="s">
        <v>589</v>
      </c>
      <c r="C374" s="93">
        <v>-190500</v>
      </c>
      <c r="D374" s="142" t="s">
        <v>1344</v>
      </c>
      <c r="E374" s="142"/>
      <c r="F374" s="142"/>
      <c r="G374" s="86"/>
      <c r="H374" s="86"/>
      <c r="I374" s="86"/>
      <c r="J374" s="86">
        <f>C374</f>
        <v>-190500</v>
      </c>
      <c r="K374" s="86"/>
      <c r="L374" s="86"/>
      <c r="M374" s="86"/>
      <c r="N374" s="86"/>
      <c r="O374" s="86"/>
      <c r="P374" s="86"/>
      <c r="Q374" s="86"/>
      <c r="R374" s="89"/>
      <c r="S374" s="89"/>
      <c r="T374" s="89"/>
      <c r="U374" s="89"/>
      <c r="V374" s="89"/>
      <c r="W374" s="89"/>
      <c r="X374" s="89"/>
      <c r="Y374" s="89"/>
      <c r="Z374" s="89"/>
      <c r="AA374" s="86"/>
      <c r="AB374" s="86"/>
      <c r="AC374" s="86"/>
      <c r="AD374" s="86"/>
      <c r="AE374" s="262"/>
      <c r="AF374" s="86"/>
      <c r="AG374" s="86"/>
      <c r="AH374" s="86"/>
      <c r="AI374" s="86"/>
      <c r="AJ374" s="86"/>
      <c r="AK374" s="86"/>
      <c r="AL374" s="86"/>
    </row>
    <row r="375" spans="1:38" s="90" customFormat="1" hidden="1">
      <c r="A375" s="91">
        <v>45440</v>
      </c>
      <c r="B375" s="72" t="s">
        <v>1299</v>
      </c>
      <c r="C375" s="93">
        <v>-86007362</v>
      </c>
      <c r="D375" s="142" t="s">
        <v>1345</v>
      </c>
      <c r="E375" s="142">
        <f>C375</f>
        <v>-86007362</v>
      </c>
      <c r="F375" s="142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9"/>
      <c r="S375" s="89"/>
      <c r="T375" s="89"/>
      <c r="U375" s="89"/>
      <c r="V375" s="89"/>
      <c r="W375" s="89"/>
      <c r="X375" s="89"/>
      <c r="Y375" s="89"/>
      <c r="Z375" s="89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</row>
    <row r="376" spans="1:38" s="90" customFormat="1" hidden="1">
      <c r="A376" s="91">
        <v>45440</v>
      </c>
      <c r="B376" s="72" t="s">
        <v>605</v>
      </c>
      <c r="C376" s="93">
        <v>-340000</v>
      </c>
      <c r="D376" s="142" t="s">
        <v>454</v>
      </c>
      <c r="E376" s="142"/>
      <c r="F376" s="142"/>
      <c r="G376" s="86"/>
      <c r="H376" s="86">
        <f>C376</f>
        <v>-340000</v>
      </c>
      <c r="I376" s="86"/>
      <c r="J376" s="86"/>
      <c r="K376" s="86"/>
      <c r="L376" s="86"/>
      <c r="M376" s="86"/>
      <c r="N376" s="86"/>
      <c r="O376" s="86"/>
      <c r="P376" s="86"/>
      <c r="Q376" s="86"/>
      <c r="R376" s="89"/>
      <c r="S376" s="89"/>
      <c r="T376" s="89"/>
      <c r="U376" s="89"/>
      <c r="V376" s="89"/>
      <c r="W376" s="89"/>
      <c r="X376" s="89"/>
      <c r="Y376" s="89"/>
      <c r="Z376" s="89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</row>
    <row r="377" spans="1:38" s="90" customFormat="1" hidden="1">
      <c r="A377" s="91">
        <v>45440</v>
      </c>
      <c r="B377" s="72" t="s">
        <v>582</v>
      </c>
      <c r="C377" s="93">
        <v>-292950</v>
      </c>
      <c r="D377" s="142" t="s">
        <v>27</v>
      </c>
      <c r="E377" s="142"/>
      <c r="F377" s="142"/>
      <c r="G377" s="86"/>
      <c r="H377" s="86"/>
      <c r="I377" s="86">
        <f>C377</f>
        <v>-292950</v>
      </c>
      <c r="J377" s="86"/>
      <c r="K377" s="86"/>
      <c r="L377" s="86"/>
      <c r="M377" s="86"/>
      <c r="N377" s="86"/>
      <c r="O377" s="86"/>
      <c r="P377" s="86"/>
      <c r="Q377" s="86"/>
      <c r="R377" s="89"/>
      <c r="S377" s="89"/>
      <c r="T377" s="89"/>
      <c r="U377" s="89"/>
      <c r="V377" s="89"/>
      <c r="W377" s="89"/>
      <c r="X377" s="89"/>
      <c r="Y377" s="89"/>
      <c r="Z377" s="89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</row>
    <row r="378" spans="1:38" s="90" customFormat="1" hidden="1">
      <c r="A378" s="91">
        <v>45440</v>
      </c>
      <c r="B378" s="72" t="s">
        <v>1241</v>
      </c>
      <c r="C378" s="93">
        <v>-450000</v>
      </c>
      <c r="D378" s="142" t="s">
        <v>1342</v>
      </c>
      <c r="E378" s="142"/>
      <c r="F378" s="142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9"/>
      <c r="S378" s="89"/>
      <c r="T378" s="89"/>
      <c r="U378" s="89"/>
      <c r="V378" s="89"/>
      <c r="W378" s="89"/>
      <c r="X378" s="89"/>
      <c r="Y378" s="89"/>
      <c r="Z378" s="89"/>
      <c r="AA378" s="86"/>
      <c r="AB378" s="86"/>
      <c r="AC378" s="86"/>
      <c r="AD378" s="86"/>
      <c r="AE378" s="86"/>
      <c r="AF378" s="86"/>
      <c r="AG378" s="86">
        <f>C378</f>
        <v>-450000</v>
      </c>
      <c r="AH378" s="86"/>
      <c r="AI378" s="86"/>
      <c r="AJ378" s="86"/>
      <c r="AK378" s="86"/>
      <c r="AL378" s="86"/>
    </row>
    <row r="379" spans="1:38" s="90" customFormat="1" hidden="1">
      <c r="A379" s="91">
        <v>45440</v>
      </c>
      <c r="B379" s="72" t="s">
        <v>588</v>
      </c>
      <c r="C379" s="93">
        <v>-100000</v>
      </c>
      <c r="D379" s="142" t="s">
        <v>126</v>
      </c>
      <c r="E379" s="142"/>
      <c r="F379" s="142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9"/>
      <c r="S379" s="89"/>
      <c r="T379" s="89"/>
      <c r="U379" s="89"/>
      <c r="V379" s="89"/>
      <c r="W379" s="89"/>
      <c r="X379" s="89"/>
      <c r="Y379" s="89"/>
      <c r="Z379" s="89"/>
      <c r="AA379" s="86"/>
      <c r="AB379" s="86"/>
      <c r="AC379" s="86"/>
      <c r="AD379" s="86"/>
      <c r="AE379" s="86"/>
      <c r="AF379" s="86"/>
      <c r="AG379" s="86"/>
      <c r="AH379" s="86"/>
      <c r="AI379" s="86">
        <f>C379</f>
        <v>-100000</v>
      </c>
      <c r="AJ379" s="86"/>
      <c r="AK379" s="86"/>
      <c r="AL379" s="86"/>
    </row>
    <row r="380" spans="1:38" s="90" customFormat="1" hidden="1">
      <c r="A380" s="91">
        <v>45440</v>
      </c>
      <c r="B380" s="72" t="s">
        <v>1241</v>
      </c>
      <c r="C380" s="93">
        <v>-2845000</v>
      </c>
      <c r="D380" s="142" t="s">
        <v>1342</v>
      </c>
      <c r="E380" s="142"/>
      <c r="F380" s="142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9"/>
      <c r="S380" s="89"/>
      <c r="T380" s="89"/>
      <c r="U380" s="89"/>
      <c r="V380" s="89"/>
      <c r="W380" s="89"/>
      <c r="X380" s="89"/>
      <c r="Y380" s="89"/>
      <c r="Z380" s="89"/>
      <c r="AA380" s="86"/>
      <c r="AB380" s="86"/>
      <c r="AC380" s="86"/>
      <c r="AD380" s="86"/>
      <c r="AE380" s="86"/>
      <c r="AF380" s="86"/>
      <c r="AG380" s="86">
        <f>C380</f>
        <v>-2845000</v>
      </c>
      <c r="AH380" s="86"/>
      <c r="AI380" s="86"/>
      <c r="AJ380" s="86"/>
      <c r="AK380" s="86"/>
      <c r="AL380" s="86"/>
    </row>
    <row r="381" spans="1:38" s="90" customFormat="1" hidden="1">
      <c r="A381" s="91">
        <v>45440</v>
      </c>
      <c r="B381" s="72" t="s">
        <v>1300</v>
      </c>
      <c r="C381" s="93">
        <v>-65000</v>
      </c>
      <c r="D381" s="142" t="s">
        <v>25</v>
      </c>
      <c r="E381" s="142"/>
      <c r="F381" s="142"/>
      <c r="G381" s="86">
        <f>C381</f>
        <v>-65000</v>
      </c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9"/>
      <c r="S381" s="89"/>
      <c r="T381" s="89"/>
      <c r="U381" s="89"/>
      <c r="V381" s="89"/>
      <c r="W381" s="89"/>
      <c r="X381" s="89"/>
      <c r="Y381" s="89"/>
      <c r="Z381" s="89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</row>
    <row r="382" spans="1:38" s="90" customFormat="1" hidden="1">
      <c r="A382" s="91">
        <v>45441</v>
      </c>
      <c r="B382" s="72" t="s">
        <v>577</v>
      </c>
      <c r="C382" s="93">
        <v>-11000</v>
      </c>
      <c r="D382" s="142" t="s">
        <v>453</v>
      </c>
      <c r="E382" s="142"/>
      <c r="F382" s="142"/>
      <c r="G382" s="86"/>
      <c r="H382" s="86"/>
      <c r="I382" s="86"/>
      <c r="J382" s="86"/>
      <c r="K382" s="86">
        <f>C382</f>
        <v>-11000</v>
      </c>
      <c r="L382" s="86"/>
      <c r="M382" s="86"/>
      <c r="N382" s="86"/>
      <c r="O382" s="86"/>
      <c r="P382" s="86"/>
      <c r="Q382" s="86"/>
      <c r="R382" s="89"/>
      <c r="S382" s="89"/>
      <c r="T382" s="89"/>
      <c r="U382" s="89"/>
      <c r="V382" s="89"/>
      <c r="W382" s="89"/>
      <c r="X382" s="89"/>
      <c r="Y382" s="89"/>
      <c r="Z382" s="89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</row>
    <row r="383" spans="1:38" s="90" customFormat="1" hidden="1">
      <c r="A383" s="91">
        <v>45441</v>
      </c>
      <c r="B383" s="72" t="s">
        <v>1302</v>
      </c>
      <c r="C383" s="59">
        <v>-65000</v>
      </c>
      <c r="D383" s="142" t="s">
        <v>25</v>
      </c>
      <c r="E383" s="142"/>
      <c r="F383" s="142"/>
      <c r="G383" s="86">
        <f>C383</f>
        <v>-65000</v>
      </c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9"/>
      <c r="S383" s="89"/>
      <c r="T383" s="89"/>
      <c r="U383" s="89"/>
      <c r="V383" s="89"/>
      <c r="W383" s="89"/>
      <c r="X383" s="89"/>
      <c r="Y383" s="89"/>
      <c r="Z383" s="89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</row>
    <row r="384" spans="1:38" s="90" customFormat="1" hidden="1">
      <c r="A384" s="91">
        <v>45441</v>
      </c>
      <c r="B384" s="72" t="s">
        <v>591</v>
      </c>
      <c r="C384" s="59">
        <v>-1307500</v>
      </c>
      <c r="D384" s="142" t="s">
        <v>454</v>
      </c>
      <c r="E384" s="142"/>
      <c r="F384" s="142"/>
      <c r="G384" s="86"/>
      <c r="H384" s="86">
        <f>C384</f>
        <v>-1307500</v>
      </c>
      <c r="I384" s="86"/>
      <c r="J384" s="86"/>
      <c r="K384" s="86"/>
      <c r="L384" s="86"/>
      <c r="M384" s="86"/>
      <c r="N384" s="86"/>
      <c r="O384" s="86"/>
      <c r="P384" s="86"/>
      <c r="Q384" s="86"/>
      <c r="R384" s="89"/>
      <c r="S384" s="89"/>
      <c r="T384" s="89"/>
      <c r="U384" s="89"/>
      <c r="V384" s="89"/>
      <c r="W384" s="89"/>
      <c r="X384" s="89"/>
      <c r="Y384" s="89"/>
      <c r="Z384" s="89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</row>
    <row r="385" spans="1:38" s="90" customFormat="1" hidden="1">
      <c r="A385" s="91">
        <v>45441</v>
      </c>
      <c r="B385" s="72" t="s">
        <v>1304</v>
      </c>
      <c r="C385" s="59">
        <v>-260000</v>
      </c>
      <c r="D385" s="142" t="s">
        <v>453</v>
      </c>
      <c r="E385" s="142"/>
      <c r="F385" s="142"/>
      <c r="G385" s="86"/>
      <c r="H385" s="86"/>
      <c r="I385" s="86"/>
      <c r="J385" s="86"/>
      <c r="K385" s="86">
        <f>C385</f>
        <v>-260000</v>
      </c>
      <c r="L385" s="86"/>
      <c r="M385" s="86"/>
      <c r="N385" s="86"/>
      <c r="O385" s="86"/>
      <c r="P385" s="86"/>
      <c r="Q385" s="86"/>
      <c r="R385" s="89"/>
      <c r="S385" s="89"/>
      <c r="T385" s="89"/>
      <c r="U385" s="89"/>
      <c r="V385" s="89"/>
      <c r="W385" s="89"/>
      <c r="X385" s="89"/>
      <c r="Y385" s="89"/>
      <c r="Z385" s="89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</row>
    <row r="386" spans="1:38" s="90" customFormat="1" hidden="1">
      <c r="A386" s="91">
        <v>45441</v>
      </c>
      <c r="B386" s="72" t="s">
        <v>1031</v>
      </c>
      <c r="C386" s="59">
        <v>-1309000</v>
      </c>
      <c r="D386" s="142" t="s">
        <v>454</v>
      </c>
      <c r="E386" s="142"/>
      <c r="F386" s="142"/>
      <c r="G386" s="86"/>
      <c r="H386" s="86">
        <f>C386</f>
        <v>-1309000</v>
      </c>
      <c r="I386" s="86"/>
      <c r="J386" s="86"/>
      <c r="K386" s="86"/>
      <c r="L386" s="86"/>
      <c r="M386" s="86"/>
      <c r="N386" s="86"/>
      <c r="O386" s="86"/>
      <c r="P386" s="86"/>
      <c r="Q386" s="86"/>
      <c r="R386" s="89"/>
      <c r="S386" s="89"/>
      <c r="T386" s="89"/>
      <c r="U386" s="89"/>
      <c r="V386" s="89"/>
      <c r="W386" s="89"/>
      <c r="X386" s="89"/>
      <c r="Y386" s="89"/>
      <c r="Z386" s="89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</row>
    <row r="387" spans="1:38" s="90" customFormat="1" hidden="1">
      <c r="A387" s="91">
        <v>45441</v>
      </c>
      <c r="B387" s="72" t="s">
        <v>592</v>
      </c>
      <c r="C387" s="59">
        <v>-20000</v>
      </c>
      <c r="D387" s="142" t="s">
        <v>454</v>
      </c>
      <c r="E387" s="142"/>
      <c r="F387" s="142"/>
      <c r="G387" s="86"/>
      <c r="H387" s="86">
        <f>C387</f>
        <v>-20000</v>
      </c>
      <c r="I387" s="86"/>
      <c r="J387" s="86"/>
      <c r="K387" s="86"/>
      <c r="L387" s="86"/>
      <c r="M387" s="86"/>
      <c r="N387" s="86"/>
      <c r="O387" s="86"/>
      <c r="P387" s="86"/>
      <c r="Q387" s="86"/>
      <c r="R387" s="89"/>
      <c r="S387" s="89"/>
      <c r="T387" s="89"/>
      <c r="U387" s="89"/>
      <c r="V387" s="89"/>
      <c r="W387" s="89"/>
      <c r="X387" s="89"/>
      <c r="Y387" s="89"/>
      <c r="Z387" s="89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</row>
    <row r="388" spans="1:38" s="90" customFormat="1" hidden="1">
      <c r="A388" s="91">
        <v>45441</v>
      </c>
      <c r="B388" s="72" t="s">
        <v>1306</v>
      </c>
      <c r="C388" s="59">
        <v>-125700</v>
      </c>
      <c r="D388" s="142" t="s">
        <v>454</v>
      </c>
      <c r="E388" s="142"/>
      <c r="F388" s="142"/>
      <c r="G388" s="86"/>
      <c r="H388" s="86">
        <f>C388</f>
        <v>-125700</v>
      </c>
      <c r="I388" s="86"/>
      <c r="J388" s="86"/>
      <c r="K388" s="86"/>
      <c r="L388" s="86"/>
      <c r="M388" s="86"/>
      <c r="N388" s="86"/>
      <c r="O388" s="86"/>
      <c r="P388" s="86"/>
      <c r="Q388" s="86"/>
      <c r="R388" s="89"/>
      <c r="S388" s="89"/>
      <c r="T388" s="89"/>
      <c r="U388" s="89"/>
      <c r="V388" s="89"/>
      <c r="W388" s="89"/>
      <c r="X388" s="89"/>
      <c r="Y388" s="89"/>
      <c r="Z388" s="89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</row>
    <row r="389" spans="1:38" s="90" customFormat="1" hidden="1">
      <c r="A389" s="91">
        <v>45441</v>
      </c>
      <c r="B389" s="72" t="s">
        <v>1307</v>
      </c>
      <c r="C389" s="59">
        <v>-239100</v>
      </c>
      <c r="D389" s="142" t="s">
        <v>453</v>
      </c>
      <c r="E389" s="142"/>
      <c r="F389" s="142"/>
      <c r="G389" s="86"/>
      <c r="H389" s="86"/>
      <c r="I389" s="86"/>
      <c r="J389" s="86"/>
      <c r="K389" s="86">
        <f>C389</f>
        <v>-239100</v>
      </c>
      <c r="L389" s="86"/>
      <c r="M389" s="86"/>
      <c r="N389" s="86"/>
      <c r="O389" s="86"/>
      <c r="P389" s="86"/>
      <c r="Q389" s="86"/>
      <c r="R389" s="89"/>
      <c r="S389" s="89"/>
      <c r="T389" s="89"/>
      <c r="U389" s="89"/>
      <c r="V389" s="89"/>
      <c r="W389" s="89"/>
      <c r="X389" s="89"/>
      <c r="Y389" s="89"/>
      <c r="Z389" s="89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</row>
    <row r="390" spans="1:38" s="90" customFormat="1" hidden="1">
      <c r="A390" s="91">
        <v>45441</v>
      </c>
      <c r="B390" s="72" t="s">
        <v>591</v>
      </c>
      <c r="C390" s="59">
        <v>-58000</v>
      </c>
      <c r="D390" s="142" t="s">
        <v>454</v>
      </c>
      <c r="E390" s="142"/>
      <c r="F390" s="142"/>
      <c r="G390" s="86"/>
      <c r="H390" s="86">
        <f>C390</f>
        <v>-58000</v>
      </c>
      <c r="I390" s="86"/>
      <c r="J390" s="86"/>
      <c r="K390" s="86"/>
      <c r="L390" s="86"/>
      <c r="M390" s="86"/>
      <c r="N390" s="86"/>
      <c r="O390" s="86"/>
      <c r="P390" s="86"/>
      <c r="Q390" s="86"/>
      <c r="R390" s="89"/>
      <c r="S390" s="89"/>
      <c r="T390" s="89"/>
      <c r="U390" s="89"/>
      <c r="V390" s="89"/>
      <c r="W390" s="89"/>
      <c r="X390" s="89"/>
      <c r="Y390" s="89"/>
      <c r="Z390" s="89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</row>
    <row r="391" spans="1:38" s="90" customFormat="1" hidden="1">
      <c r="A391" s="91">
        <v>45441</v>
      </c>
      <c r="B391" s="72" t="s">
        <v>1241</v>
      </c>
      <c r="C391" s="59">
        <v>-575000</v>
      </c>
      <c r="D391" s="142" t="s">
        <v>1342</v>
      </c>
      <c r="E391" s="142"/>
      <c r="F391" s="142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9"/>
      <c r="S391" s="89"/>
      <c r="T391" s="89"/>
      <c r="U391" s="89"/>
      <c r="V391" s="89"/>
      <c r="W391" s="89"/>
      <c r="X391" s="89"/>
      <c r="Y391" s="89"/>
      <c r="Z391" s="89"/>
      <c r="AA391" s="86"/>
      <c r="AB391" s="86"/>
      <c r="AC391" s="86"/>
      <c r="AD391" s="86"/>
      <c r="AE391" s="86"/>
      <c r="AF391" s="86"/>
      <c r="AG391" s="86">
        <f>C391</f>
        <v>-575000</v>
      </c>
      <c r="AH391" s="86"/>
      <c r="AI391" s="86"/>
      <c r="AJ391" s="86"/>
      <c r="AK391" s="86"/>
      <c r="AL391" s="86"/>
    </row>
    <row r="392" spans="1:38" s="90" customFormat="1" hidden="1">
      <c r="A392" s="91">
        <v>45441</v>
      </c>
      <c r="B392" s="72" t="s">
        <v>1308</v>
      </c>
      <c r="C392" s="59">
        <v>-155000</v>
      </c>
      <c r="D392" s="142" t="s">
        <v>1344</v>
      </c>
      <c r="E392" s="142"/>
      <c r="F392" s="142"/>
      <c r="G392" s="86"/>
      <c r="H392" s="86"/>
      <c r="I392" s="86"/>
      <c r="J392" s="86">
        <f>C392</f>
        <v>-155000</v>
      </c>
      <c r="K392" s="86"/>
      <c r="L392" s="86"/>
      <c r="M392" s="86"/>
      <c r="N392" s="86"/>
      <c r="O392" s="86"/>
      <c r="P392" s="86"/>
      <c r="Q392" s="86"/>
      <c r="R392" s="89"/>
      <c r="S392" s="89"/>
      <c r="T392" s="89"/>
      <c r="U392" s="89"/>
      <c r="V392" s="89"/>
      <c r="W392" s="89"/>
      <c r="X392" s="89"/>
      <c r="Y392" s="89"/>
      <c r="Z392" s="89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</row>
    <row r="393" spans="1:38" s="90" customFormat="1" hidden="1">
      <c r="A393" s="91">
        <v>45441</v>
      </c>
      <c r="B393" s="72" t="s">
        <v>884</v>
      </c>
      <c r="C393" s="59">
        <v>-1423000</v>
      </c>
      <c r="D393" s="142" t="s">
        <v>454</v>
      </c>
      <c r="E393" s="142"/>
      <c r="F393" s="142"/>
      <c r="G393" s="86"/>
      <c r="H393" s="86">
        <f>C393</f>
        <v>-1423000</v>
      </c>
      <c r="I393" s="86"/>
      <c r="J393" s="86"/>
      <c r="K393" s="86"/>
      <c r="L393" s="86"/>
      <c r="M393" s="86"/>
      <c r="N393" s="86"/>
      <c r="O393" s="86"/>
      <c r="P393" s="86"/>
      <c r="Q393" s="86"/>
      <c r="R393" s="89"/>
      <c r="S393" s="89"/>
      <c r="T393" s="89"/>
      <c r="U393" s="89"/>
      <c r="V393" s="89"/>
      <c r="W393" s="89"/>
      <c r="X393" s="89"/>
      <c r="Y393" s="89"/>
      <c r="Z393" s="89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</row>
    <row r="394" spans="1:38" s="90" customFormat="1" hidden="1">
      <c r="A394" s="91">
        <v>45441</v>
      </c>
      <c r="B394" s="72" t="s">
        <v>1309</v>
      </c>
      <c r="C394" s="59">
        <v>-2634000</v>
      </c>
      <c r="D394" s="142" t="s">
        <v>1342</v>
      </c>
      <c r="E394" s="142"/>
      <c r="F394" s="142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9"/>
      <c r="S394" s="89"/>
      <c r="T394" s="89"/>
      <c r="U394" s="89"/>
      <c r="V394" s="89"/>
      <c r="W394" s="89"/>
      <c r="X394" s="89"/>
      <c r="Y394" s="89"/>
      <c r="Z394" s="89"/>
      <c r="AA394" s="86"/>
      <c r="AB394" s="86"/>
      <c r="AC394" s="86"/>
      <c r="AD394" s="86"/>
      <c r="AE394" s="86"/>
      <c r="AF394" s="86"/>
      <c r="AG394" s="86">
        <f>C394</f>
        <v>-2634000</v>
      </c>
      <c r="AH394" s="86"/>
      <c r="AI394" s="86"/>
      <c r="AJ394" s="86"/>
      <c r="AK394" s="86"/>
      <c r="AL394" s="86"/>
    </row>
    <row r="395" spans="1:38" s="90" customFormat="1" hidden="1">
      <c r="A395" s="91">
        <v>45441</v>
      </c>
      <c r="B395" s="72" t="s">
        <v>1310</v>
      </c>
      <c r="C395" s="59">
        <v>-75000</v>
      </c>
      <c r="D395" s="142" t="s">
        <v>25</v>
      </c>
      <c r="E395" s="142"/>
      <c r="F395" s="142"/>
      <c r="G395" s="86">
        <f>C395</f>
        <v>-75000</v>
      </c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9"/>
      <c r="S395" s="89"/>
      <c r="T395" s="89"/>
      <c r="U395" s="89"/>
      <c r="V395" s="89"/>
      <c r="W395" s="89"/>
      <c r="X395" s="89"/>
      <c r="Y395" s="89"/>
      <c r="Z395" s="89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</row>
    <row r="396" spans="1:38" s="90" customFormat="1" hidden="1">
      <c r="A396" s="91">
        <v>45441</v>
      </c>
      <c r="B396" s="72" t="s">
        <v>1311</v>
      </c>
      <c r="C396" s="59">
        <v>-649905</v>
      </c>
      <c r="D396" s="142" t="s">
        <v>233</v>
      </c>
      <c r="E396" s="142"/>
      <c r="F396" s="142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9"/>
      <c r="S396" s="89"/>
      <c r="T396" s="89"/>
      <c r="U396" s="89"/>
      <c r="V396" s="89"/>
      <c r="W396" s="89"/>
      <c r="X396" s="89"/>
      <c r="Y396" s="89"/>
      <c r="Z396" s="89"/>
      <c r="AA396" s="86"/>
      <c r="AB396" s="86"/>
      <c r="AC396" s="86"/>
      <c r="AD396" s="86"/>
      <c r="AE396" s="86"/>
      <c r="AF396" s="86">
        <f>C396</f>
        <v>-649905</v>
      </c>
      <c r="AG396" s="86"/>
      <c r="AH396" s="86"/>
      <c r="AI396" s="86"/>
      <c r="AJ396" s="86"/>
      <c r="AK396" s="86"/>
      <c r="AL396" s="86"/>
    </row>
    <row r="397" spans="1:38" s="90" customFormat="1" hidden="1">
      <c r="A397" s="91">
        <v>45441</v>
      </c>
      <c r="B397" s="72" t="s">
        <v>1312</v>
      </c>
      <c r="C397" s="59">
        <v>-4924062</v>
      </c>
      <c r="D397" s="142" t="s">
        <v>1342</v>
      </c>
      <c r="E397" s="142"/>
      <c r="F397" s="142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9"/>
      <c r="S397" s="89"/>
      <c r="T397" s="89"/>
      <c r="U397" s="89"/>
      <c r="V397" s="89"/>
      <c r="W397" s="89"/>
      <c r="X397" s="89"/>
      <c r="Y397" s="89"/>
      <c r="Z397" s="89"/>
      <c r="AA397" s="86"/>
      <c r="AB397" s="86"/>
      <c r="AC397" s="86"/>
      <c r="AD397" s="86"/>
      <c r="AE397" s="86"/>
      <c r="AF397" s="86"/>
      <c r="AG397" s="86">
        <f>C397</f>
        <v>-4924062</v>
      </c>
      <c r="AH397" s="86"/>
      <c r="AI397" s="86"/>
      <c r="AJ397" s="86"/>
      <c r="AK397" s="86"/>
      <c r="AL397" s="86"/>
    </row>
    <row r="398" spans="1:38" s="90" customFormat="1" hidden="1">
      <c r="A398" s="91">
        <v>45441</v>
      </c>
      <c r="B398" s="72" t="s">
        <v>1313</v>
      </c>
      <c r="C398" s="59">
        <v>-110000</v>
      </c>
      <c r="D398" s="142" t="s">
        <v>1344</v>
      </c>
      <c r="E398" s="142"/>
      <c r="F398" s="142"/>
      <c r="G398" s="86"/>
      <c r="H398" s="86"/>
      <c r="I398" s="86"/>
      <c r="J398" s="86">
        <f>C398</f>
        <v>-110000</v>
      </c>
      <c r="K398" s="86"/>
      <c r="L398" s="86"/>
      <c r="M398" s="86"/>
      <c r="N398" s="86"/>
      <c r="O398" s="86"/>
      <c r="P398" s="86"/>
      <c r="Q398" s="86"/>
      <c r="R398" s="89"/>
      <c r="S398" s="89"/>
      <c r="T398" s="89"/>
      <c r="U398" s="89"/>
      <c r="V398" s="89"/>
      <c r="W398" s="89"/>
      <c r="X398" s="89"/>
      <c r="Y398" s="89"/>
      <c r="Z398" s="89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</row>
    <row r="399" spans="1:38" s="90" customFormat="1" hidden="1">
      <c r="A399" s="91">
        <v>45441</v>
      </c>
      <c r="B399" s="72" t="s">
        <v>591</v>
      </c>
      <c r="C399" s="93">
        <v>-993000</v>
      </c>
      <c r="D399" s="142" t="s">
        <v>454</v>
      </c>
      <c r="E399" s="142"/>
      <c r="F399" s="142"/>
      <c r="G399" s="86"/>
      <c r="H399" s="86">
        <f>C399</f>
        <v>-993000</v>
      </c>
      <c r="I399" s="86"/>
      <c r="J399" s="86"/>
      <c r="K399" s="86"/>
      <c r="L399" s="86"/>
      <c r="M399" s="86"/>
      <c r="N399" s="86"/>
      <c r="O399" s="86"/>
      <c r="P399" s="86"/>
      <c r="Q399" s="86"/>
      <c r="R399" s="89"/>
      <c r="S399" s="89"/>
      <c r="T399" s="89"/>
      <c r="U399" s="89"/>
      <c r="V399" s="89"/>
      <c r="W399" s="89"/>
      <c r="X399" s="89"/>
      <c r="Y399" s="89"/>
      <c r="Z399" s="89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</row>
    <row r="400" spans="1:38" s="90" customFormat="1" hidden="1">
      <c r="A400" s="91">
        <v>45441</v>
      </c>
      <c r="B400" s="72" t="s">
        <v>1315</v>
      </c>
      <c r="C400" s="93">
        <v>-65000</v>
      </c>
      <c r="D400" s="142" t="s">
        <v>25</v>
      </c>
      <c r="E400" s="142"/>
      <c r="F400" s="142"/>
      <c r="G400" s="86">
        <f>C400</f>
        <v>-65000</v>
      </c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9"/>
      <c r="S400" s="89"/>
      <c r="T400" s="89"/>
      <c r="U400" s="89"/>
      <c r="V400" s="89"/>
      <c r="W400" s="89"/>
      <c r="X400" s="89"/>
      <c r="Y400" s="89"/>
      <c r="Z400" s="89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</row>
    <row r="401" spans="1:38" s="90" customFormat="1" hidden="1">
      <c r="A401" s="91">
        <v>45441</v>
      </c>
      <c r="B401" s="72" t="s">
        <v>1037</v>
      </c>
      <c r="C401" s="93">
        <v>-36000</v>
      </c>
      <c r="D401" s="142" t="s">
        <v>454</v>
      </c>
      <c r="E401" s="142"/>
      <c r="F401" s="142"/>
      <c r="G401" s="86"/>
      <c r="H401" s="86">
        <f>C401</f>
        <v>-36000</v>
      </c>
      <c r="I401" s="86"/>
      <c r="J401" s="86"/>
      <c r="K401" s="86"/>
      <c r="L401" s="86"/>
      <c r="M401" s="86"/>
      <c r="N401" s="86"/>
      <c r="O401" s="86"/>
      <c r="P401" s="86"/>
      <c r="Q401" s="86"/>
      <c r="R401" s="89"/>
      <c r="S401" s="89"/>
      <c r="T401" s="89"/>
      <c r="U401" s="89"/>
      <c r="V401" s="89"/>
      <c r="W401" s="89"/>
      <c r="X401" s="89"/>
      <c r="Y401" s="89"/>
      <c r="Z401" s="89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</row>
    <row r="402" spans="1:38" s="90" customFormat="1" hidden="1">
      <c r="A402" s="91">
        <v>45442</v>
      </c>
      <c r="B402" s="72" t="s">
        <v>577</v>
      </c>
      <c r="C402" s="59">
        <v>-11000</v>
      </c>
      <c r="D402" s="142" t="s">
        <v>453</v>
      </c>
      <c r="E402" s="142"/>
      <c r="F402" s="142"/>
      <c r="G402" s="86"/>
      <c r="H402" s="86"/>
      <c r="I402" s="86"/>
      <c r="J402" s="86"/>
      <c r="K402" s="86">
        <f>C402</f>
        <v>-11000</v>
      </c>
      <c r="L402" s="86"/>
      <c r="M402" s="86"/>
      <c r="N402" s="86"/>
      <c r="O402" s="86"/>
      <c r="P402" s="86"/>
      <c r="Q402" s="86"/>
      <c r="R402" s="89"/>
      <c r="S402" s="89"/>
      <c r="T402" s="89"/>
      <c r="U402" s="89"/>
      <c r="V402" s="89"/>
      <c r="W402" s="89"/>
      <c r="X402" s="89"/>
      <c r="Y402" s="89"/>
      <c r="Z402" s="89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</row>
    <row r="403" spans="1:38" s="90" customFormat="1" hidden="1">
      <c r="A403" s="91">
        <v>45442</v>
      </c>
      <c r="B403" s="72" t="s">
        <v>584</v>
      </c>
      <c r="C403" s="59">
        <v>-693000</v>
      </c>
      <c r="D403" s="142" t="s">
        <v>454</v>
      </c>
      <c r="E403" s="142"/>
      <c r="F403" s="142"/>
      <c r="G403" s="86"/>
      <c r="H403" s="86">
        <f>C403</f>
        <v>-693000</v>
      </c>
      <c r="I403" s="86"/>
      <c r="J403" s="86"/>
      <c r="K403" s="86"/>
      <c r="L403" s="86"/>
      <c r="M403" s="86"/>
      <c r="N403" s="86"/>
      <c r="O403" s="86"/>
      <c r="P403" s="86"/>
      <c r="Q403" s="86"/>
      <c r="R403" s="89"/>
      <c r="S403" s="89"/>
      <c r="T403" s="89"/>
      <c r="U403" s="89"/>
      <c r="V403" s="89"/>
      <c r="W403" s="89"/>
      <c r="X403" s="89"/>
      <c r="Y403" s="89"/>
      <c r="Z403" s="89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</row>
    <row r="404" spans="1:38" s="90" customFormat="1" hidden="1">
      <c r="A404" s="91">
        <v>45442</v>
      </c>
      <c r="B404" s="72" t="s">
        <v>1319</v>
      </c>
      <c r="C404" s="59">
        <v>-200000</v>
      </c>
      <c r="D404" s="142" t="s">
        <v>27</v>
      </c>
      <c r="E404" s="142"/>
      <c r="F404" s="142"/>
      <c r="G404" s="86"/>
      <c r="H404" s="86"/>
      <c r="I404" s="86">
        <f>C404</f>
        <v>-200000</v>
      </c>
      <c r="J404" s="86"/>
      <c r="K404" s="86"/>
      <c r="L404" s="86"/>
      <c r="M404" s="86"/>
      <c r="N404" s="86"/>
      <c r="O404" s="86"/>
      <c r="P404" s="86"/>
      <c r="Q404" s="86"/>
      <c r="R404" s="89"/>
      <c r="S404" s="89"/>
      <c r="T404" s="89"/>
      <c r="U404" s="89"/>
      <c r="V404" s="89"/>
      <c r="W404" s="89"/>
      <c r="X404" s="89"/>
      <c r="Y404" s="89"/>
      <c r="Z404" s="89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</row>
    <row r="405" spans="1:38" s="90" customFormat="1" hidden="1">
      <c r="A405" s="91">
        <v>45442</v>
      </c>
      <c r="B405" s="72" t="s">
        <v>1320</v>
      </c>
      <c r="C405" s="59">
        <v>-650000</v>
      </c>
      <c r="D405" s="142" t="s">
        <v>453</v>
      </c>
      <c r="E405" s="142"/>
      <c r="F405" s="142"/>
      <c r="G405" s="86"/>
      <c r="H405" s="86"/>
      <c r="I405" s="86"/>
      <c r="J405" s="86"/>
      <c r="K405" s="86">
        <f>C405</f>
        <v>-650000</v>
      </c>
      <c r="L405" s="86"/>
      <c r="M405" s="86"/>
      <c r="N405" s="86"/>
      <c r="O405" s="86"/>
      <c r="P405" s="86"/>
      <c r="Q405" s="86"/>
      <c r="R405" s="89"/>
      <c r="S405" s="89"/>
      <c r="T405" s="89"/>
      <c r="U405" s="89"/>
      <c r="V405" s="89"/>
      <c r="W405" s="89"/>
      <c r="X405" s="89"/>
      <c r="Y405" s="89"/>
      <c r="Z405" s="89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</row>
    <row r="406" spans="1:38" s="90" customFormat="1" hidden="1">
      <c r="A406" s="91">
        <v>45442</v>
      </c>
      <c r="B406" s="72" t="s">
        <v>591</v>
      </c>
      <c r="C406" s="59">
        <v>-2850500</v>
      </c>
      <c r="D406" s="142" t="s">
        <v>454</v>
      </c>
      <c r="E406" s="142"/>
      <c r="F406" s="142"/>
      <c r="G406" s="86"/>
      <c r="H406" s="86">
        <f>C406</f>
        <v>-2850500</v>
      </c>
      <c r="I406" s="86"/>
      <c r="J406" s="86"/>
      <c r="K406" s="86"/>
      <c r="L406" s="86"/>
      <c r="M406" s="86"/>
      <c r="N406" s="86"/>
      <c r="O406" s="86"/>
      <c r="P406" s="86"/>
      <c r="Q406" s="86"/>
      <c r="R406" s="89"/>
      <c r="S406" s="89"/>
      <c r="T406" s="89"/>
      <c r="U406" s="89"/>
      <c r="V406" s="89"/>
      <c r="W406" s="89"/>
      <c r="X406" s="89"/>
      <c r="Y406" s="89"/>
      <c r="Z406" s="89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</row>
    <row r="407" spans="1:38" s="90" customFormat="1" hidden="1">
      <c r="A407" s="91">
        <v>45442</v>
      </c>
      <c r="B407" s="72" t="s">
        <v>884</v>
      </c>
      <c r="C407" s="59">
        <v>-166000</v>
      </c>
      <c r="D407" s="142" t="s">
        <v>454</v>
      </c>
      <c r="E407" s="142"/>
      <c r="F407" s="142"/>
      <c r="G407" s="86"/>
      <c r="H407" s="86">
        <f>C407</f>
        <v>-166000</v>
      </c>
      <c r="I407" s="86"/>
      <c r="J407" s="86"/>
      <c r="K407" s="86"/>
      <c r="L407" s="86"/>
      <c r="M407" s="86"/>
      <c r="N407" s="86"/>
      <c r="O407" s="86"/>
      <c r="P407" s="86"/>
      <c r="Q407" s="86"/>
      <c r="R407" s="89"/>
      <c r="S407" s="89"/>
      <c r="T407" s="89"/>
      <c r="U407" s="89"/>
      <c r="V407" s="89"/>
      <c r="W407" s="89"/>
      <c r="X407" s="89"/>
      <c r="Y407" s="89"/>
      <c r="Z407" s="89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</row>
    <row r="408" spans="1:38" s="90" customFormat="1" hidden="1">
      <c r="A408" s="91">
        <v>45442</v>
      </c>
      <c r="B408" s="72" t="s">
        <v>1322</v>
      </c>
      <c r="C408" s="59">
        <v>-100000</v>
      </c>
      <c r="D408" s="142" t="s">
        <v>453</v>
      </c>
      <c r="E408" s="142"/>
      <c r="F408" s="142"/>
      <c r="G408" s="86"/>
      <c r="H408" s="86"/>
      <c r="I408" s="86"/>
      <c r="J408" s="86"/>
      <c r="K408" s="86">
        <f>C408</f>
        <v>-100000</v>
      </c>
      <c r="L408" s="86"/>
      <c r="M408" s="86"/>
      <c r="N408" s="86"/>
      <c r="O408" s="86"/>
      <c r="P408" s="86"/>
      <c r="Q408" s="86"/>
      <c r="R408" s="89"/>
      <c r="S408" s="89"/>
      <c r="T408" s="89"/>
      <c r="U408" s="89"/>
      <c r="V408" s="89"/>
      <c r="W408" s="89"/>
      <c r="X408" s="89"/>
      <c r="Y408" s="89"/>
      <c r="Z408" s="89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</row>
    <row r="409" spans="1:38" s="90" customFormat="1" hidden="1">
      <c r="A409" s="91">
        <v>45442</v>
      </c>
      <c r="B409" s="72" t="s">
        <v>594</v>
      </c>
      <c r="C409" s="59">
        <v>-433000</v>
      </c>
      <c r="D409" s="142" t="s">
        <v>454</v>
      </c>
      <c r="E409" s="142"/>
      <c r="F409" s="142"/>
      <c r="G409" s="86"/>
      <c r="H409" s="86">
        <f>C409</f>
        <v>-433000</v>
      </c>
      <c r="I409" s="86"/>
      <c r="J409" s="86"/>
      <c r="K409" s="86"/>
      <c r="L409" s="86"/>
      <c r="M409" s="86"/>
      <c r="N409" s="86"/>
      <c r="O409" s="86"/>
      <c r="P409" s="86"/>
      <c r="Q409" s="86"/>
      <c r="R409" s="89"/>
      <c r="S409" s="89"/>
      <c r="T409" s="89"/>
      <c r="U409" s="89"/>
      <c r="V409" s="89"/>
      <c r="W409" s="89"/>
      <c r="X409" s="89"/>
      <c r="Y409" s="89"/>
      <c r="Z409" s="89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</row>
    <row r="410" spans="1:38" s="90" customFormat="1" hidden="1">
      <c r="A410" s="91">
        <v>45442</v>
      </c>
      <c r="B410" s="72" t="s">
        <v>1323</v>
      </c>
      <c r="C410" s="59">
        <v>-65000</v>
      </c>
      <c r="D410" s="142" t="s">
        <v>25</v>
      </c>
      <c r="E410" s="142"/>
      <c r="F410" s="142"/>
      <c r="G410" s="86">
        <f>C410</f>
        <v>-65000</v>
      </c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9"/>
      <c r="S410" s="89"/>
      <c r="T410" s="89"/>
      <c r="U410" s="89"/>
      <c r="V410" s="89"/>
      <c r="W410" s="89"/>
      <c r="X410" s="89"/>
      <c r="Y410" s="89"/>
      <c r="Z410" s="89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</row>
    <row r="411" spans="1:38" s="90" customFormat="1" hidden="1">
      <c r="A411" s="91">
        <v>45442</v>
      </c>
      <c r="B411" s="72" t="s">
        <v>1324</v>
      </c>
      <c r="C411" s="59">
        <v>-85500</v>
      </c>
      <c r="D411" s="142" t="s">
        <v>1342</v>
      </c>
      <c r="E411" s="142"/>
      <c r="F411" s="142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9"/>
      <c r="S411" s="89"/>
      <c r="T411" s="89"/>
      <c r="U411" s="89"/>
      <c r="V411" s="89"/>
      <c r="W411" s="89"/>
      <c r="X411" s="89"/>
      <c r="Y411" s="89"/>
      <c r="Z411" s="89"/>
      <c r="AA411" s="86"/>
      <c r="AB411" s="86"/>
      <c r="AC411" s="86"/>
      <c r="AD411" s="86"/>
      <c r="AE411" s="86"/>
      <c r="AF411" s="86"/>
      <c r="AG411" s="86">
        <f>C411</f>
        <v>-85500</v>
      </c>
      <c r="AH411" s="86"/>
      <c r="AI411" s="86"/>
      <c r="AJ411" s="86"/>
      <c r="AK411" s="86"/>
      <c r="AL411" s="86"/>
    </row>
    <row r="412" spans="1:38" s="90" customFormat="1" ht="16.5" hidden="1" customHeight="1">
      <c r="A412" s="91">
        <v>45442</v>
      </c>
      <c r="B412" s="72" t="s">
        <v>1325</v>
      </c>
      <c r="C412" s="59">
        <v>-104700</v>
      </c>
      <c r="D412" s="142" t="s">
        <v>1344</v>
      </c>
      <c r="E412" s="142"/>
      <c r="F412" s="142"/>
      <c r="G412" s="86"/>
      <c r="H412" s="86"/>
      <c r="I412" s="86"/>
      <c r="J412" s="86">
        <f>C412</f>
        <v>-104700</v>
      </c>
      <c r="K412" s="86"/>
      <c r="L412" s="86"/>
      <c r="M412" s="86"/>
      <c r="N412" s="86"/>
      <c r="O412" s="86"/>
      <c r="P412" s="86"/>
      <c r="Q412" s="86"/>
      <c r="R412" s="89"/>
      <c r="S412" s="89"/>
      <c r="T412" s="89"/>
      <c r="U412" s="89"/>
      <c r="V412" s="89"/>
      <c r="W412" s="89"/>
      <c r="X412" s="89"/>
      <c r="Y412" s="89"/>
      <c r="Z412" s="89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</row>
    <row r="413" spans="1:38" s="90" customFormat="1" hidden="1">
      <c r="A413" s="91">
        <v>45442</v>
      </c>
      <c r="B413" s="72" t="s">
        <v>1326</v>
      </c>
      <c r="C413" s="398">
        <v>-290000</v>
      </c>
      <c r="D413" s="142" t="s">
        <v>454</v>
      </c>
      <c r="E413" s="142"/>
      <c r="F413" s="142"/>
      <c r="G413" s="86"/>
      <c r="H413" s="86">
        <f>C413</f>
        <v>-290000</v>
      </c>
      <c r="I413" s="86"/>
      <c r="J413" s="86"/>
      <c r="K413" s="86"/>
      <c r="L413" s="86"/>
      <c r="M413" s="86"/>
      <c r="N413" s="86"/>
      <c r="O413" s="86"/>
      <c r="P413" s="86"/>
      <c r="Q413" s="86"/>
      <c r="R413" s="89"/>
      <c r="S413" s="89"/>
      <c r="T413" s="89"/>
      <c r="U413" s="89"/>
      <c r="V413" s="89"/>
      <c r="W413" s="89"/>
      <c r="X413" s="89"/>
      <c r="Y413" s="89"/>
      <c r="Z413" s="89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</row>
    <row r="414" spans="1:38" s="90" customFormat="1" hidden="1">
      <c r="A414" s="91">
        <v>45442</v>
      </c>
      <c r="B414" s="72" t="s">
        <v>1327</v>
      </c>
      <c r="C414" s="59">
        <v>-44900</v>
      </c>
      <c r="D414" s="142" t="s">
        <v>27</v>
      </c>
      <c r="E414" s="142"/>
      <c r="F414" s="142"/>
      <c r="G414" s="86"/>
      <c r="H414" s="86"/>
      <c r="I414" s="86">
        <f>C414</f>
        <v>-44900</v>
      </c>
      <c r="J414" s="86"/>
      <c r="K414" s="86"/>
      <c r="L414" s="86"/>
      <c r="M414" s="86"/>
      <c r="N414" s="86"/>
      <c r="O414" s="86"/>
      <c r="P414" s="86"/>
      <c r="Q414" s="86"/>
      <c r="R414" s="89"/>
      <c r="S414" s="89"/>
      <c r="T414" s="89"/>
      <c r="U414" s="89"/>
      <c r="V414" s="89"/>
      <c r="W414" s="89"/>
      <c r="X414" s="89"/>
      <c r="Y414" s="89"/>
      <c r="Z414" s="89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</row>
    <row r="415" spans="1:38" s="90" customFormat="1" hidden="1">
      <c r="A415" s="91">
        <v>45442</v>
      </c>
      <c r="B415" s="72" t="s">
        <v>604</v>
      </c>
      <c r="C415" s="59">
        <v>-181000</v>
      </c>
      <c r="D415" s="142" t="s">
        <v>1344</v>
      </c>
      <c r="E415" s="142"/>
      <c r="F415" s="142"/>
      <c r="G415" s="86"/>
      <c r="H415" s="86"/>
      <c r="I415" s="86"/>
      <c r="J415" s="86">
        <f>C415</f>
        <v>-181000</v>
      </c>
      <c r="K415" s="86"/>
      <c r="L415" s="86"/>
      <c r="M415" s="86"/>
      <c r="N415" s="86"/>
      <c r="O415" s="86"/>
      <c r="P415" s="86"/>
      <c r="Q415" s="86"/>
      <c r="R415" s="89"/>
      <c r="S415" s="89"/>
      <c r="T415" s="89"/>
      <c r="U415" s="89"/>
      <c r="V415" s="89"/>
      <c r="W415" s="89"/>
      <c r="X415" s="89"/>
      <c r="Y415" s="89"/>
      <c r="Z415" s="89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</row>
    <row r="416" spans="1:38" s="90" customFormat="1" hidden="1">
      <c r="A416" s="91">
        <v>45442</v>
      </c>
      <c r="B416" s="72" t="s">
        <v>1324</v>
      </c>
      <c r="C416" s="59">
        <v>-1530000</v>
      </c>
      <c r="D416" s="142" t="s">
        <v>1342</v>
      </c>
      <c r="E416" s="142"/>
      <c r="F416" s="142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9"/>
      <c r="S416" s="89"/>
      <c r="T416" s="89"/>
      <c r="U416" s="89"/>
      <c r="V416" s="89"/>
      <c r="W416" s="89"/>
      <c r="X416" s="89"/>
      <c r="Y416" s="89"/>
      <c r="Z416" s="89"/>
      <c r="AA416" s="86"/>
      <c r="AB416" s="86"/>
      <c r="AC416" s="86"/>
      <c r="AD416" s="86"/>
      <c r="AE416" s="86"/>
      <c r="AF416" s="86"/>
      <c r="AG416" s="86">
        <f>C416</f>
        <v>-1530000</v>
      </c>
      <c r="AH416" s="86"/>
      <c r="AI416" s="86"/>
      <c r="AJ416" s="86"/>
      <c r="AK416" s="86"/>
      <c r="AL416" s="86"/>
    </row>
    <row r="417" spans="1:38" s="90" customFormat="1" hidden="1">
      <c r="A417" s="91">
        <v>45442</v>
      </c>
      <c r="B417" s="72" t="s">
        <v>1328</v>
      </c>
      <c r="C417" s="59">
        <v>-93800</v>
      </c>
      <c r="D417" s="142" t="s">
        <v>27</v>
      </c>
      <c r="E417" s="142"/>
      <c r="F417" s="142"/>
      <c r="G417" s="86"/>
      <c r="H417" s="86"/>
      <c r="I417" s="86">
        <f>C417</f>
        <v>-93800</v>
      </c>
      <c r="J417" s="86"/>
      <c r="K417" s="86"/>
      <c r="L417" s="86"/>
      <c r="M417" s="86"/>
      <c r="N417" s="86"/>
      <c r="O417" s="86"/>
      <c r="P417" s="86"/>
      <c r="Q417" s="86"/>
      <c r="R417" s="89"/>
      <c r="S417" s="89"/>
      <c r="T417" s="89"/>
      <c r="U417" s="89"/>
      <c r="V417" s="89"/>
      <c r="W417" s="89"/>
      <c r="X417" s="89"/>
      <c r="Y417" s="89"/>
      <c r="Z417" s="89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</row>
    <row r="418" spans="1:38" s="90" customFormat="1" hidden="1">
      <c r="A418" s="91">
        <v>45442</v>
      </c>
      <c r="B418" s="72" t="s">
        <v>1329</v>
      </c>
      <c r="C418" s="59">
        <v>-65000</v>
      </c>
      <c r="D418" s="142" t="s">
        <v>25</v>
      </c>
      <c r="E418" s="142"/>
      <c r="F418" s="142"/>
      <c r="G418" s="86">
        <f>C418</f>
        <v>-65000</v>
      </c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9"/>
      <c r="S418" s="89"/>
      <c r="T418" s="89"/>
      <c r="U418" s="89"/>
      <c r="V418" s="89"/>
      <c r="W418" s="89"/>
      <c r="X418" s="89"/>
      <c r="Y418" s="89"/>
      <c r="Z418" s="89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</row>
    <row r="419" spans="1:38" s="90" customFormat="1" hidden="1">
      <c r="A419" s="91">
        <v>45442</v>
      </c>
      <c r="B419" s="72" t="s">
        <v>1330</v>
      </c>
      <c r="C419" s="59">
        <v>-75000</v>
      </c>
      <c r="D419" s="142" t="s">
        <v>25</v>
      </c>
      <c r="E419" s="142"/>
      <c r="F419" s="142"/>
      <c r="G419" s="86">
        <f>C419</f>
        <v>-75000</v>
      </c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9"/>
      <c r="S419" s="89"/>
      <c r="T419" s="89"/>
      <c r="U419" s="89"/>
      <c r="V419" s="89"/>
      <c r="W419" s="89"/>
      <c r="X419" s="89"/>
      <c r="Y419" s="89"/>
      <c r="Z419" s="89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</row>
    <row r="420" spans="1:38" s="90" customFormat="1" hidden="1">
      <c r="A420" s="91">
        <v>45442</v>
      </c>
      <c r="B420" s="459" t="s">
        <v>1332</v>
      </c>
      <c r="C420" s="59">
        <v>-65000</v>
      </c>
      <c r="D420" s="142" t="s">
        <v>25</v>
      </c>
      <c r="E420" s="142"/>
      <c r="F420" s="142"/>
      <c r="G420" s="86">
        <f>C420</f>
        <v>-65000</v>
      </c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9"/>
      <c r="S420" s="89"/>
      <c r="T420" s="89"/>
      <c r="U420" s="89"/>
      <c r="V420" s="89"/>
      <c r="W420" s="89"/>
      <c r="X420" s="89"/>
      <c r="Y420" s="89"/>
      <c r="Z420" s="89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</row>
    <row r="421" spans="1:38" s="90" customFormat="1" hidden="1">
      <c r="A421" s="354">
        <v>45443</v>
      </c>
      <c r="B421" s="72" t="s">
        <v>577</v>
      </c>
      <c r="C421" s="59">
        <v>-11000</v>
      </c>
      <c r="D421" s="142" t="s">
        <v>453</v>
      </c>
      <c r="E421" s="142"/>
      <c r="F421" s="142"/>
      <c r="G421" s="86"/>
      <c r="H421" s="86"/>
      <c r="I421" s="86"/>
      <c r="J421" s="86"/>
      <c r="K421" s="86">
        <f>C421</f>
        <v>-11000</v>
      </c>
      <c r="L421" s="86"/>
      <c r="M421" s="86"/>
      <c r="N421" s="86"/>
      <c r="O421" s="86"/>
      <c r="P421" s="86"/>
      <c r="Q421" s="86"/>
      <c r="R421" s="89"/>
      <c r="S421" s="89"/>
      <c r="T421" s="89"/>
      <c r="U421" s="89"/>
      <c r="V421" s="89"/>
      <c r="W421" s="89"/>
      <c r="X421" s="89"/>
      <c r="Y421" s="89"/>
      <c r="Z421" s="89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</row>
    <row r="422" spans="1:38" s="90" customFormat="1" hidden="1">
      <c r="A422" s="354">
        <v>45443</v>
      </c>
      <c r="B422" s="460" t="s">
        <v>1333</v>
      </c>
      <c r="C422" s="59">
        <v>-65000</v>
      </c>
      <c r="D422" s="142" t="s">
        <v>25</v>
      </c>
      <c r="E422" s="142"/>
      <c r="F422" s="142"/>
      <c r="G422" s="86">
        <f>C422</f>
        <v>-65000</v>
      </c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9"/>
      <c r="S422" s="89"/>
      <c r="T422" s="89"/>
      <c r="U422" s="89"/>
      <c r="V422" s="89"/>
      <c r="W422" s="89"/>
      <c r="X422" s="89"/>
      <c r="Y422" s="89"/>
      <c r="Z422" s="89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</row>
    <row r="423" spans="1:38" s="90" customFormat="1" hidden="1">
      <c r="A423" s="354">
        <v>45443</v>
      </c>
      <c r="B423" s="72" t="s">
        <v>591</v>
      </c>
      <c r="C423" s="59">
        <v>-198000</v>
      </c>
      <c r="D423" s="142" t="s">
        <v>454</v>
      </c>
      <c r="E423" s="142"/>
      <c r="F423" s="142"/>
      <c r="G423" s="86"/>
      <c r="H423" s="86">
        <f>C423</f>
        <v>-198000</v>
      </c>
      <c r="I423" s="86"/>
      <c r="J423" s="86"/>
      <c r="K423" s="86"/>
      <c r="L423" s="86"/>
      <c r="M423" s="86"/>
      <c r="N423" s="86"/>
      <c r="O423" s="86"/>
      <c r="P423" s="86"/>
      <c r="Q423" s="86"/>
      <c r="R423" s="89"/>
      <c r="S423" s="89"/>
      <c r="T423" s="89"/>
      <c r="U423" s="89"/>
      <c r="V423" s="89"/>
      <c r="W423" s="89"/>
      <c r="X423" s="89"/>
      <c r="Y423" s="89"/>
      <c r="Z423" s="89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</row>
    <row r="424" spans="1:38" s="90" customFormat="1" hidden="1">
      <c r="A424" s="354">
        <v>45443</v>
      </c>
      <c r="B424" s="72" t="s">
        <v>579</v>
      </c>
      <c r="C424" s="59">
        <v>-60000</v>
      </c>
      <c r="D424" s="142" t="s">
        <v>454</v>
      </c>
      <c r="E424" s="142"/>
      <c r="F424" s="142"/>
      <c r="G424" s="86"/>
      <c r="H424" s="86">
        <f>C424</f>
        <v>-60000</v>
      </c>
      <c r="I424" s="86"/>
      <c r="J424" s="86"/>
      <c r="K424" s="86"/>
      <c r="L424" s="86"/>
      <c r="M424" s="86"/>
      <c r="N424" s="86"/>
      <c r="O424" s="86"/>
      <c r="P424" s="86"/>
      <c r="Q424" s="86"/>
      <c r="R424" s="89"/>
      <c r="S424" s="89"/>
      <c r="T424" s="89"/>
      <c r="U424" s="89"/>
      <c r="V424" s="89"/>
      <c r="W424" s="89"/>
      <c r="X424" s="89"/>
      <c r="Y424" s="89"/>
      <c r="Z424" s="89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</row>
    <row r="425" spans="1:38" s="90" customFormat="1" hidden="1">
      <c r="A425" s="354">
        <v>45443</v>
      </c>
      <c r="B425" s="72" t="s">
        <v>591</v>
      </c>
      <c r="C425" s="59">
        <v>-1039000</v>
      </c>
      <c r="D425" s="142" t="s">
        <v>454</v>
      </c>
      <c r="E425" s="142"/>
      <c r="F425" s="142"/>
      <c r="G425" s="86"/>
      <c r="H425" s="86">
        <f>C425</f>
        <v>-1039000</v>
      </c>
      <c r="I425" s="86"/>
      <c r="J425" s="86"/>
      <c r="K425" s="86"/>
      <c r="L425" s="86"/>
      <c r="M425" s="86"/>
      <c r="N425" s="86"/>
      <c r="O425" s="86"/>
      <c r="P425" s="86"/>
      <c r="Q425" s="86"/>
      <c r="R425" s="89"/>
      <c r="S425" s="89"/>
      <c r="T425" s="89"/>
      <c r="U425" s="89"/>
      <c r="V425" s="89"/>
      <c r="W425" s="89"/>
      <c r="X425" s="89"/>
      <c r="Y425" s="89"/>
      <c r="Z425" s="89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</row>
    <row r="426" spans="1:38" s="90" customFormat="1" hidden="1">
      <c r="A426" s="354">
        <v>45443</v>
      </c>
      <c r="B426" s="72" t="s">
        <v>579</v>
      </c>
      <c r="C426" s="59">
        <v>-340000</v>
      </c>
      <c r="D426" s="142" t="s">
        <v>454</v>
      </c>
      <c r="E426" s="142"/>
      <c r="F426" s="142"/>
      <c r="G426" s="86"/>
      <c r="H426" s="86">
        <f>C426</f>
        <v>-340000</v>
      </c>
      <c r="I426" s="86"/>
      <c r="J426" s="86"/>
      <c r="K426" s="86"/>
      <c r="L426" s="86"/>
      <c r="M426" s="86"/>
      <c r="N426" s="86"/>
      <c r="O426" s="86"/>
      <c r="P426" s="86"/>
      <c r="Q426" s="86"/>
      <c r="R426" s="89"/>
      <c r="S426" s="89"/>
      <c r="T426" s="89"/>
      <c r="U426" s="89"/>
      <c r="V426" s="89"/>
      <c r="W426" s="89"/>
      <c r="X426" s="89"/>
      <c r="Y426" s="89"/>
      <c r="Z426" s="89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</row>
    <row r="427" spans="1:38" s="90" customFormat="1" hidden="1">
      <c r="A427" s="354">
        <v>45443</v>
      </c>
      <c r="B427" s="72" t="s">
        <v>586</v>
      </c>
      <c r="C427" s="59">
        <v>-229000</v>
      </c>
      <c r="D427" s="142" t="s">
        <v>454</v>
      </c>
      <c r="E427" s="142"/>
      <c r="F427" s="142"/>
      <c r="G427" s="86"/>
      <c r="H427" s="86">
        <f>C427</f>
        <v>-229000</v>
      </c>
      <c r="I427" s="86"/>
      <c r="J427" s="86"/>
      <c r="K427" s="86"/>
      <c r="L427" s="86"/>
      <c r="M427" s="86"/>
      <c r="N427" s="86"/>
      <c r="O427" s="86"/>
      <c r="P427" s="86"/>
      <c r="Q427" s="86"/>
      <c r="R427" s="89"/>
      <c r="S427" s="89"/>
      <c r="T427" s="89"/>
      <c r="U427" s="89"/>
      <c r="V427" s="89"/>
      <c r="W427" s="89"/>
      <c r="X427" s="89"/>
      <c r="Y427" s="89"/>
      <c r="Z427" s="89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</row>
    <row r="428" spans="1:38" s="90" customFormat="1" hidden="1">
      <c r="A428" s="354">
        <v>45443</v>
      </c>
      <c r="B428" s="72" t="s">
        <v>589</v>
      </c>
      <c r="C428" s="59">
        <v>-618000</v>
      </c>
      <c r="D428" s="142" t="s">
        <v>1344</v>
      </c>
      <c r="E428" s="142"/>
      <c r="F428" s="142"/>
      <c r="G428" s="86"/>
      <c r="H428" s="86"/>
      <c r="I428" s="86"/>
      <c r="J428" s="86">
        <f>C428</f>
        <v>-618000</v>
      </c>
      <c r="K428" s="86"/>
      <c r="L428" s="86"/>
      <c r="M428" s="86"/>
      <c r="N428" s="86"/>
      <c r="O428" s="86"/>
      <c r="P428" s="86"/>
      <c r="Q428" s="86"/>
      <c r="R428" s="89"/>
      <c r="S428" s="89"/>
      <c r="T428" s="89"/>
      <c r="U428" s="89"/>
      <c r="V428" s="89"/>
      <c r="W428" s="89"/>
      <c r="X428" s="89"/>
      <c r="Y428" s="89"/>
      <c r="Z428" s="89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</row>
    <row r="429" spans="1:38" s="90" customFormat="1" hidden="1">
      <c r="A429" s="354">
        <v>45443</v>
      </c>
      <c r="B429" s="72" t="s">
        <v>1241</v>
      </c>
      <c r="C429" s="59">
        <v>-79000</v>
      </c>
      <c r="D429" s="142" t="s">
        <v>1342</v>
      </c>
      <c r="E429" s="142"/>
      <c r="F429" s="142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9"/>
      <c r="S429" s="89"/>
      <c r="T429" s="89"/>
      <c r="U429" s="89"/>
      <c r="V429" s="89"/>
      <c r="W429" s="89"/>
      <c r="X429" s="89"/>
      <c r="Y429" s="89"/>
      <c r="Z429" s="89"/>
      <c r="AA429" s="86"/>
      <c r="AB429" s="86"/>
      <c r="AC429" s="86"/>
      <c r="AD429" s="86"/>
      <c r="AE429" s="86"/>
      <c r="AF429" s="86"/>
      <c r="AG429" s="86">
        <f>C429</f>
        <v>-79000</v>
      </c>
      <c r="AH429" s="86"/>
      <c r="AI429" s="86"/>
      <c r="AJ429" s="86"/>
      <c r="AK429" s="86"/>
      <c r="AL429" s="86"/>
    </row>
    <row r="430" spans="1:38" s="90" customFormat="1" hidden="1">
      <c r="A430" s="354">
        <v>45443</v>
      </c>
      <c r="B430" s="72" t="s">
        <v>1337</v>
      </c>
      <c r="C430" s="59">
        <v>-2960000</v>
      </c>
      <c r="D430" s="142" t="s">
        <v>233</v>
      </c>
      <c r="E430" s="142"/>
      <c r="F430" s="142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9"/>
      <c r="S430" s="89"/>
      <c r="T430" s="89"/>
      <c r="U430" s="89"/>
      <c r="V430" s="89"/>
      <c r="W430" s="89"/>
      <c r="X430" s="89"/>
      <c r="Y430" s="89"/>
      <c r="Z430" s="89"/>
      <c r="AA430" s="86"/>
      <c r="AB430" s="86"/>
      <c r="AC430" s="86"/>
      <c r="AD430" s="86"/>
      <c r="AE430" s="86"/>
      <c r="AF430" s="86">
        <f>C430</f>
        <v>-2960000</v>
      </c>
      <c r="AG430" s="86"/>
      <c r="AH430" s="86"/>
      <c r="AI430" s="86"/>
      <c r="AJ430" s="86"/>
      <c r="AK430" s="86"/>
      <c r="AL430" s="86"/>
    </row>
    <row r="431" spans="1:38" s="90" customFormat="1" hidden="1">
      <c r="A431" s="354">
        <v>45443</v>
      </c>
      <c r="B431" s="72" t="s">
        <v>1338</v>
      </c>
      <c r="C431" s="59">
        <v>-25600</v>
      </c>
      <c r="D431" s="142" t="s">
        <v>32</v>
      </c>
      <c r="E431" s="142"/>
      <c r="F431" s="142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9"/>
      <c r="S431" s="89"/>
      <c r="T431" s="89"/>
      <c r="U431" s="89"/>
      <c r="V431" s="89"/>
      <c r="W431" s="89"/>
      <c r="X431" s="89"/>
      <c r="Y431" s="89"/>
      <c r="Z431" s="89"/>
      <c r="AA431" s="86"/>
      <c r="AB431" s="86">
        <f>C431</f>
        <v>-25600</v>
      </c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</row>
    <row r="432" spans="1:38" s="90" customFormat="1" hidden="1">
      <c r="A432" s="354">
        <v>45443</v>
      </c>
      <c r="B432" s="72" t="s">
        <v>1241</v>
      </c>
      <c r="C432" s="59">
        <v>-2025000</v>
      </c>
      <c r="D432" s="142" t="s">
        <v>1342</v>
      </c>
      <c r="E432" s="142"/>
      <c r="F432" s="142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9"/>
      <c r="S432" s="89"/>
      <c r="T432" s="89"/>
      <c r="U432" s="89"/>
      <c r="V432" s="89"/>
      <c r="W432" s="89"/>
      <c r="X432" s="89"/>
      <c r="Y432" s="89"/>
      <c r="Z432" s="89"/>
      <c r="AA432" s="86"/>
      <c r="AB432" s="86"/>
      <c r="AC432" s="86"/>
      <c r="AD432" s="86"/>
      <c r="AE432" s="86"/>
      <c r="AF432" s="86"/>
      <c r="AG432" s="86">
        <f>C432</f>
        <v>-2025000</v>
      </c>
      <c r="AH432" s="86"/>
      <c r="AI432" s="86"/>
      <c r="AJ432" s="86"/>
      <c r="AK432" s="86"/>
      <c r="AL432" s="86"/>
    </row>
    <row r="433" spans="1:38" s="90" customFormat="1" hidden="1">
      <c r="A433" s="354">
        <v>45443</v>
      </c>
      <c r="B433" s="72" t="s">
        <v>590</v>
      </c>
      <c r="C433" s="59">
        <v>-93800</v>
      </c>
      <c r="D433" s="142" t="s">
        <v>27</v>
      </c>
      <c r="E433" s="142"/>
      <c r="F433" s="142"/>
      <c r="G433" s="86"/>
      <c r="H433" s="86"/>
      <c r="I433" s="86">
        <f>C433</f>
        <v>-93800</v>
      </c>
      <c r="J433" s="86"/>
      <c r="K433" s="86"/>
      <c r="L433" s="86"/>
      <c r="M433" s="86"/>
      <c r="N433" s="86"/>
      <c r="O433" s="86"/>
      <c r="P433" s="86"/>
      <c r="Q433" s="86"/>
      <c r="R433" s="89"/>
      <c r="S433" s="89"/>
      <c r="T433" s="89"/>
      <c r="U433" s="89"/>
      <c r="V433" s="89"/>
      <c r="W433" s="89"/>
      <c r="X433" s="89"/>
      <c r="Y433" s="89"/>
      <c r="Z433" s="89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</row>
    <row r="434" spans="1:38">
      <c r="A434" s="454" t="s">
        <v>95</v>
      </c>
      <c r="B434" s="454"/>
      <c r="C434" s="96">
        <f>SUM(C2:C433)</f>
        <v>-353554642</v>
      </c>
      <c r="D434" s="42"/>
      <c r="E434" s="94">
        <f>SUM(E2:E433)</f>
        <v>-86007362</v>
      </c>
      <c r="F434" s="94">
        <f t="shared" ref="F434:AB434" si="0">SUM(F2:F433)</f>
        <v>0</v>
      </c>
      <c r="G434" s="94">
        <f t="shared" si="0"/>
        <v>-8350425</v>
      </c>
      <c r="H434" s="94">
        <f t="shared" si="0"/>
        <v>-136170700</v>
      </c>
      <c r="I434" s="94">
        <f t="shared" si="0"/>
        <v>-7738125</v>
      </c>
      <c r="J434" s="94">
        <f t="shared" si="0"/>
        <v>-16416800</v>
      </c>
      <c r="K434" s="94">
        <f t="shared" si="0"/>
        <v>-6246731</v>
      </c>
      <c r="L434" s="94">
        <f t="shared" si="0"/>
        <v>-181140</v>
      </c>
      <c r="M434" s="94">
        <f t="shared" si="0"/>
        <v>-100000</v>
      </c>
      <c r="N434" s="94">
        <f t="shared" si="0"/>
        <v>-432000</v>
      </c>
      <c r="O434" s="94">
        <f t="shared" si="0"/>
        <v>0</v>
      </c>
      <c r="P434" s="94">
        <f t="shared" si="0"/>
        <v>-662356</v>
      </c>
      <c r="Q434" s="94">
        <f t="shared" si="0"/>
        <v>-2594500</v>
      </c>
      <c r="R434" s="94">
        <f t="shared" si="0"/>
        <v>-1014267</v>
      </c>
      <c r="S434" s="94">
        <f t="shared" si="0"/>
        <v>-20493439</v>
      </c>
      <c r="T434" s="94">
        <f t="shared" si="0"/>
        <v>-568600</v>
      </c>
      <c r="U434" s="94">
        <f t="shared" si="0"/>
        <v>0</v>
      </c>
      <c r="V434" s="94">
        <f t="shared" si="0"/>
        <v>-80891</v>
      </c>
      <c r="W434" s="94">
        <f t="shared" si="0"/>
        <v>-73500</v>
      </c>
      <c r="X434" s="94">
        <f t="shared" si="0"/>
        <v>-1400000</v>
      </c>
      <c r="Y434" s="94">
        <f t="shared" si="0"/>
        <v>0</v>
      </c>
      <c r="Z434" s="94">
        <f t="shared" si="0"/>
        <v>-1123850</v>
      </c>
      <c r="AA434" s="94">
        <f t="shared" si="0"/>
        <v>-2282588</v>
      </c>
      <c r="AB434" s="94">
        <f t="shared" si="0"/>
        <v>-676300</v>
      </c>
      <c r="AC434" s="94">
        <f t="shared" ref="AC434" si="1">SUM(AC2:AC433)</f>
        <v>-1750000</v>
      </c>
      <c r="AD434" s="94">
        <f t="shared" ref="AD434" si="2">SUM(AD2:AD433)</f>
        <v>-3774500</v>
      </c>
      <c r="AE434" s="94">
        <f t="shared" ref="AE434" si="3">SUM(AE2:AE433)</f>
        <v>-8544757</v>
      </c>
      <c r="AF434" s="94">
        <f t="shared" ref="AF434" si="4">SUM(AF2:AF433)</f>
        <v>-22198105</v>
      </c>
      <c r="AG434" s="94">
        <f t="shared" ref="AG434" si="5">SUM(AG2:AG433)</f>
        <v>-24007562</v>
      </c>
      <c r="AH434" s="94">
        <f t="shared" ref="AH434" si="6">SUM(AH2:AH433)</f>
        <v>0</v>
      </c>
      <c r="AI434" s="94">
        <f t="shared" ref="AI434" si="7">SUM(AI2:AI433)</f>
        <v>-300000</v>
      </c>
      <c r="AJ434" s="94">
        <f t="shared" ref="AJ434" si="8">SUM(AJ2:AJ433)</f>
        <v>0</v>
      </c>
      <c r="AK434" s="94">
        <f t="shared" ref="AK434" si="9">SUM(AK2:AK433)</f>
        <v>-366144</v>
      </c>
      <c r="AL434" s="94">
        <f t="shared" ref="AL434" si="10">SUM(AL2:AL433)</f>
        <v>0</v>
      </c>
    </row>
    <row r="435" spans="1:38">
      <c r="S435" s="19"/>
    </row>
    <row r="436" spans="1:38">
      <c r="C436" s="97">
        <f>SUM(E434:AL434)</f>
        <v>-353554642</v>
      </c>
    </row>
    <row r="438" spans="1:38">
      <c r="C438" s="42" t="s">
        <v>608</v>
      </c>
      <c r="D438" s="48">
        <f>G4</f>
        <v>0</v>
      </c>
      <c r="E438" s="269"/>
      <c r="F438" s="269"/>
      <c r="H438" s="479" t="s">
        <v>153</v>
      </c>
      <c r="I438" s="480"/>
    </row>
    <row r="439" spans="1:38">
      <c r="C439" s="63" t="s">
        <v>609</v>
      </c>
      <c r="D439" s="74">
        <f>G434-D441</f>
        <v>-8030425</v>
      </c>
      <c r="E439" s="270"/>
      <c r="F439" s="270"/>
      <c r="H439" s="42"/>
      <c r="I439" s="48"/>
    </row>
    <row r="440" spans="1:38">
      <c r="C440" s="42" t="s">
        <v>218</v>
      </c>
      <c r="D440" s="48"/>
      <c r="E440" s="269"/>
      <c r="F440" s="269"/>
      <c r="H440" s="42"/>
      <c r="I440" s="48"/>
    </row>
    <row r="441" spans="1:38">
      <c r="B441" s="19">
        <f>Cashflow!K589-KK!C434</f>
        <v>0</v>
      </c>
      <c r="C441" s="63" t="s">
        <v>610</v>
      </c>
      <c r="D441" s="74">
        <v>-320000</v>
      </c>
      <c r="E441" s="270"/>
      <c r="F441" s="270"/>
      <c r="H441" s="42"/>
      <c r="I441" s="454"/>
    </row>
    <row r="442" spans="1:38">
      <c r="C442" s="42"/>
      <c r="D442" s="48"/>
      <c r="E442" s="269"/>
      <c r="F442" s="269"/>
      <c r="H442" s="42"/>
      <c r="I442" s="454"/>
    </row>
    <row r="443" spans="1:38">
      <c r="C443" s="94" t="s">
        <v>95</v>
      </c>
      <c r="D443" s="95">
        <f>SUM(D438:D442)</f>
        <v>-8350425</v>
      </c>
      <c r="E443" s="271"/>
      <c r="F443" s="271"/>
      <c r="H443" s="42"/>
      <c r="I443" s="454"/>
    </row>
    <row r="444" spans="1:38">
      <c r="D444" s="38"/>
      <c r="E444" s="38"/>
      <c r="F444" s="38"/>
      <c r="H444" s="42"/>
      <c r="I444" s="454"/>
    </row>
    <row r="445" spans="1:38">
      <c r="D445" s="38"/>
      <c r="E445" s="38"/>
      <c r="F445" s="38"/>
      <c r="H445" s="124" t="s">
        <v>95</v>
      </c>
      <c r="I445" s="125">
        <f>SUM(I439:I444)</f>
        <v>0</v>
      </c>
    </row>
    <row r="446" spans="1:38">
      <c r="B446" t="s">
        <v>1426</v>
      </c>
      <c r="C446" s="19">
        <f>E434</f>
        <v>-86007362</v>
      </c>
    </row>
    <row r="447" spans="1:38">
      <c r="B447" s="19" t="s">
        <v>25</v>
      </c>
      <c r="C447" s="19">
        <f>G434</f>
        <v>-8350425</v>
      </c>
    </row>
    <row r="448" spans="1:38">
      <c r="B448" t="s">
        <v>454</v>
      </c>
      <c r="C448" s="31">
        <f>H434</f>
        <v>-136170700</v>
      </c>
    </row>
    <row r="449" spans="2:3">
      <c r="B449" t="s">
        <v>27</v>
      </c>
      <c r="C449" s="31">
        <f>I434</f>
        <v>-7738125</v>
      </c>
    </row>
    <row r="450" spans="2:3">
      <c r="B450" t="s">
        <v>522</v>
      </c>
      <c r="C450" s="31">
        <f>J434</f>
        <v>-16416800</v>
      </c>
    </row>
    <row r="451" spans="2:3">
      <c r="B451" t="s">
        <v>453</v>
      </c>
      <c r="C451" s="31">
        <f>K434</f>
        <v>-6246731</v>
      </c>
    </row>
    <row r="452" spans="2:3">
      <c r="B452" t="s">
        <v>232</v>
      </c>
      <c r="C452" s="31">
        <f>AC434</f>
        <v>-1750000</v>
      </c>
    </row>
    <row r="453" spans="2:3">
      <c r="B453" t="s">
        <v>501</v>
      </c>
      <c r="C453" s="31">
        <f>M434</f>
        <v>-100000</v>
      </c>
    </row>
    <row r="454" spans="2:3">
      <c r="B454" t="s">
        <v>500</v>
      </c>
      <c r="C454" s="31">
        <f>N434</f>
        <v>-432000</v>
      </c>
    </row>
    <row r="455" spans="2:3">
      <c r="B455" t="s">
        <v>494</v>
      </c>
      <c r="C455" s="31">
        <f>O434</f>
        <v>0</v>
      </c>
    </row>
    <row r="456" spans="2:3">
      <c r="B456" t="s">
        <v>523</v>
      </c>
      <c r="C456" s="31">
        <f>P434</f>
        <v>-662356</v>
      </c>
    </row>
    <row r="457" spans="2:3">
      <c r="B457" t="s">
        <v>497</v>
      </c>
      <c r="C457" s="31">
        <f>Q434</f>
        <v>-2594500</v>
      </c>
    </row>
    <row r="458" spans="2:3">
      <c r="B458" t="s">
        <v>496</v>
      </c>
      <c r="C458" s="31">
        <f>R434</f>
        <v>-1014267</v>
      </c>
    </row>
    <row r="459" spans="2:3">
      <c r="B459" t="s">
        <v>188</v>
      </c>
      <c r="C459" s="31">
        <f>W434</f>
        <v>-73500</v>
      </c>
    </row>
    <row r="460" spans="2:3">
      <c r="B460" t="s">
        <v>524</v>
      </c>
      <c r="C460" s="31">
        <f>Y434</f>
        <v>0</v>
      </c>
    </row>
    <row r="461" spans="2:3">
      <c r="B461" t="s">
        <v>122</v>
      </c>
      <c r="C461" s="31">
        <f>S434</f>
        <v>-20493439</v>
      </c>
    </row>
    <row r="462" spans="2:3">
      <c r="B462" t="s">
        <v>123</v>
      </c>
      <c r="C462" s="31">
        <f>T434</f>
        <v>-568600</v>
      </c>
    </row>
    <row r="463" spans="2:3">
      <c r="B463" t="s">
        <v>525</v>
      </c>
      <c r="C463" s="31">
        <f>V434</f>
        <v>-80891</v>
      </c>
    </row>
    <row r="464" spans="2:3">
      <c r="B464" t="s">
        <v>498</v>
      </c>
      <c r="C464" s="31">
        <f>Z434</f>
        <v>-1123850</v>
      </c>
    </row>
    <row r="465" spans="2:3">
      <c r="B465" t="s">
        <v>499</v>
      </c>
      <c r="C465" s="31">
        <f>AA434</f>
        <v>-2282588</v>
      </c>
    </row>
    <row r="466" spans="2:3">
      <c r="B466" t="s">
        <v>32</v>
      </c>
      <c r="C466" s="31">
        <f>AB434</f>
        <v>-676300</v>
      </c>
    </row>
    <row r="467" spans="2:3">
      <c r="B467" t="s">
        <v>126</v>
      </c>
      <c r="C467" s="31">
        <f>AI434</f>
        <v>-300000</v>
      </c>
    </row>
    <row r="468" spans="2:3">
      <c r="B468" t="s">
        <v>495</v>
      </c>
      <c r="C468" s="31">
        <f>X434</f>
        <v>-1400000</v>
      </c>
    </row>
    <row r="469" spans="2:3">
      <c r="B469" t="s">
        <v>456</v>
      </c>
      <c r="C469" s="31">
        <f>AE434</f>
        <v>-8544757</v>
      </c>
    </row>
    <row r="470" spans="2:3">
      <c r="B470" t="s">
        <v>455</v>
      </c>
      <c r="C470" s="31">
        <f>AG434</f>
        <v>-24007562</v>
      </c>
    </row>
    <row r="471" spans="2:3">
      <c r="B471" t="s">
        <v>233</v>
      </c>
      <c r="C471" s="31">
        <f>AF434</f>
        <v>-22198105</v>
      </c>
    </row>
    <row r="472" spans="2:3">
      <c r="B472" t="s">
        <v>493</v>
      </c>
      <c r="C472" s="31">
        <f>AD434</f>
        <v>-3774500</v>
      </c>
    </row>
    <row r="473" spans="2:3">
      <c r="B473" t="s">
        <v>492</v>
      </c>
      <c r="C473" s="31">
        <f>L434</f>
        <v>-181140</v>
      </c>
    </row>
    <row r="474" spans="2:3">
      <c r="B474" t="s">
        <v>133</v>
      </c>
      <c r="C474" s="31">
        <f>AJ434</f>
        <v>0</v>
      </c>
    </row>
    <row r="475" spans="2:3">
      <c r="B475" t="s">
        <v>134</v>
      </c>
      <c r="C475" s="31">
        <f>AK434</f>
        <v>-366144</v>
      </c>
    </row>
    <row r="476" spans="2:3">
      <c r="B476" t="s">
        <v>95</v>
      </c>
      <c r="C476" s="4">
        <f>SUM(C446:C475)</f>
        <v>-353554642</v>
      </c>
    </row>
  </sheetData>
  <autoFilter ref="A1:AL434">
    <filterColumn colId="30">
      <customFilters>
        <customFilter operator="notEqual" val=" "/>
      </customFilters>
    </filterColumn>
  </autoFilter>
  <mergeCells count="1">
    <mergeCell ref="H438:I438"/>
  </mergeCells>
  <pageMargins left="0.7" right="0.7" top="0.75" bottom="0.75" header="0.3" footer="0.3"/>
  <pageSetup paperSize="9" scale="73" fitToHeight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zoomScale="80" zoomScaleNormal="80" workbookViewId="0">
      <selection activeCell="K7" sqref="K7"/>
    </sheetView>
  </sheetViews>
  <sheetFormatPr defaultRowHeight="15"/>
  <cols>
    <col min="2" max="2" width="33" bestFit="1" customWidth="1"/>
    <col min="3" max="3" width="19.140625" customWidth="1"/>
    <col min="4" max="4" width="14.28515625" style="21" bestFit="1" customWidth="1"/>
    <col min="5" max="5" width="14.28515625" bestFit="1" customWidth="1"/>
    <col min="6" max="6" width="16" style="56" bestFit="1" customWidth="1"/>
  </cols>
  <sheetData>
    <row r="1" spans="1:4" ht="18.75" customHeight="1">
      <c r="A1" s="481" t="s">
        <v>1428</v>
      </c>
      <c r="B1" s="481"/>
      <c r="C1" s="481"/>
      <c r="D1" s="481"/>
    </row>
    <row r="2" spans="1:4" ht="15" customHeight="1">
      <c r="A2" s="161" t="s">
        <v>4</v>
      </c>
      <c r="B2" s="161" t="s">
        <v>5</v>
      </c>
      <c r="C2" s="161" t="s">
        <v>6</v>
      </c>
      <c r="D2" s="161" t="s">
        <v>7</v>
      </c>
    </row>
    <row r="3" spans="1:4">
      <c r="A3" s="7" t="s">
        <v>8</v>
      </c>
      <c r="B3" s="8" t="s">
        <v>1429</v>
      </c>
      <c r="C3" s="76">
        <f>Cashflow!D1</f>
        <v>34082261</v>
      </c>
      <c r="D3" s="51"/>
    </row>
    <row r="4" spans="1:4">
      <c r="A4" s="7" t="s">
        <v>9</v>
      </c>
      <c r="B4" s="8" t="s">
        <v>10</v>
      </c>
      <c r="C4" s="77"/>
      <c r="D4" s="245">
        <f>Cashflow!C604</f>
        <v>-170000000</v>
      </c>
    </row>
    <row r="5" spans="1:4">
      <c r="A5" s="113"/>
      <c r="B5" s="9" t="s">
        <v>11</v>
      </c>
      <c r="C5" s="78">
        <f>Cashflow!D602</f>
        <v>110000000</v>
      </c>
      <c r="D5" s="246"/>
    </row>
    <row r="6" spans="1:4">
      <c r="A6" s="114"/>
      <c r="B6" s="9" t="s">
        <v>230</v>
      </c>
      <c r="C6" s="78">
        <f>Cashflow!G602</f>
        <v>0</v>
      </c>
      <c r="D6" s="246"/>
    </row>
    <row r="7" spans="1:4">
      <c r="A7" s="114"/>
      <c r="B7" s="9" t="s">
        <v>178</v>
      </c>
      <c r="C7" s="78">
        <f>Cashflow!E602</f>
        <v>60000000</v>
      </c>
      <c r="D7" s="246"/>
    </row>
    <row r="8" spans="1:4">
      <c r="A8" s="114"/>
      <c r="B8" s="9" t="s">
        <v>404</v>
      </c>
      <c r="C8" s="78">
        <f>Cashflow!H602</f>
        <v>0</v>
      </c>
      <c r="D8" s="246"/>
    </row>
    <row r="9" spans="1:4">
      <c r="A9" s="114"/>
      <c r="B9" s="9" t="s">
        <v>113</v>
      </c>
      <c r="C9" s="78">
        <f>Cashflow!F602</f>
        <v>0</v>
      </c>
      <c r="D9" s="246"/>
    </row>
    <row r="10" spans="1:4">
      <c r="A10" s="166"/>
      <c r="B10" s="9" t="s">
        <v>12</v>
      </c>
      <c r="C10" s="78"/>
      <c r="D10" s="247"/>
    </row>
    <row r="11" spans="1:4">
      <c r="A11" s="10"/>
      <c r="B11" s="11"/>
      <c r="C11" s="79"/>
      <c r="D11" s="11"/>
    </row>
    <row r="12" spans="1:4">
      <c r="A12" s="18" t="s">
        <v>14</v>
      </c>
      <c r="B12" s="12" t="s">
        <v>15</v>
      </c>
      <c r="C12" s="80"/>
      <c r="D12" s="13"/>
    </row>
    <row r="13" spans="1:4">
      <c r="A13" s="14"/>
      <c r="B13" s="15" t="s">
        <v>16</v>
      </c>
      <c r="C13" s="78">
        <f>Invoices!G54</f>
        <v>469467000</v>
      </c>
      <c r="D13" s="482">
        <f>SUM(C13:C23)</f>
        <v>526600000</v>
      </c>
    </row>
    <row r="14" spans="1:4">
      <c r="A14" s="14"/>
      <c r="B14" s="15" t="s">
        <v>17</v>
      </c>
      <c r="C14" s="81">
        <f>Bills!J16</f>
        <v>2820000</v>
      </c>
      <c r="D14" s="483"/>
    </row>
    <row r="15" spans="1:4">
      <c r="A15" s="14"/>
      <c r="B15" s="15" t="s">
        <v>152</v>
      </c>
      <c r="C15" s="81">
        <f>Kuitansi!E177</f>
        <v>0</v>
      </c>
      <c r="D15" s="483"/>
    </row>
    <row r="16" spans="1:4">
      <c r="A16" s="14"/>
      <c r="B16" s="15" t="s">
        <v>151</v>
      </c>
      <c r="C16" s="81">
        <f>Kuitansi!F174</f>
        <v>6500000</v>
      </c>
      <c r="D16" s="483"/>
    </row>
    <row r="17" spans="1:5">
      <c r="A17" s="14"/>
      <c r="B17" s="261" t="s">
        <v>468</v>
      </c>
      <c r="C17" s="81">
        <v>0</v>
      </c>
      <c r="D17" s="483"/>
    </row>
    <row r="18" spans="1:5">
      <c r="A18" s="14"/>
      <c r="B18" s="15" t="s">
        <v>150</v>
      </c>
      <c r="C18" s="81">
        <f>Kuitansi!J174</f>
        <v>42600000</v>
      </c>
      <c r="D18" s="483"/>
    </row>
    <row r="19" spans="1:5">
      <c r="A19" s="14"/>
      <c r="B19" s="9" t="s">
        <v>18</v>
      </c>
      <c r="C19" s="81">
        <f>OOD!C33</f>
        <v>4160000</v>
      </c>
      <c r="D19" s="483"/>
    </row>
    <row r="20" spans="1:5">
      <c r="A20" s="14"/>
      <c r="B20" s="9" t="s">
        <v>19</v>
      </c>
      <c r="C20" s="81">
        <f>OOD!M11</f>
        <v>262000</v>
      </c>
      <c r="D20" s="483"/>
    </row>
    <row r="21" spans="1:5">
      <c r="A21" s="14"/>
      <c r="B21" s="9" t="s">
        <v>20</v>
      </c>
      <c r="C21" s="81">
        <f>OOD!H29</f>
        <v>541000</v>
      </c>
      <c r="D21" s="483"/>
    </row>
    <row r="22" spans="1:5">
      <c r="A22" s="17"/>
      <c r="B22" s="9" t="s">
        <v>21</v>
      </c>
      <c r="C22" s="81">
        <f>OOD!H26</f>
        <v>0</v>
      </c>
      <c r="D22" s="483"/>
    </row>
    <row r="23" spans="1:5">
      <c r="A23" s="165"/>
      <c r="B23" s="9" t="s">
        <v>22</v>
      </c>
      <c r="C23" s="82">
        <f>OOD!H27</f>
        <v>250000</v>
      </c>
      <c r="D23" s="484"/>
    </row>
    <row r="24" spans="1:5">
      <c r="A24" s="17"/>
      <c r="C24" s="65"/>
      <c r="D24" s="164"/>
    </row>
    <row r="25" spans="1:5">
      <c r="A25" s="18" t="s">
        <v>23</v>
      </c>
      <c r="B25" s="12" t="s">
        <v>24</v>
      </c>
      <c r="C25" s="83"/>
      <c r="D25" s="13"/>
    </row>
    <row r="26" spans="1:5">
      <c r="A26" s="17"/>
      <c r="B26" s="15" t="s">
        <v>25</v>
      </c>
      <c r="C26" s="290">
        <f>KK!G434</f>
        <v>-8350425</v>
      </c>
      <c r="D26" s="485">
        <f>SUM(C26:C57)</f>
        <v>-353554642</v>
      </c>
    </row>
    <row r="27" spans="1:5">
      <c r="A27" s="17"/>
      <c r="B27" s="15" t="s">
        <v>26</v>
      </c>
      <c r="C27" s="290">
        <f>KK!H434</f>
        <v>-136170700</v>
      </c>
      <c r="D27" s="486"/>
    </row>
    <row r="28" spans="1:5">
      <c r="A28" s="17"/>
      <c r="B28" s="15" t="s">
        <v>27</v>
      </c>
      <c r="C28" s="290">
        <f>KK!I434</f>
        <v>-7738125</v>
      </c>
      <c r="D28" s="486"/>
    </row>
    <row r="29" spans="1:5">
      <c r="A29" s="17"/>
      <c r="B29" s="15" t="s">
        <v>28</v>
      </c>
      <c r="C29" s="290">
        <f>KK!J434</f>
        <v>-16416800</v>
      </c>
      <c r="D29" s="486"/>
      <c r="E29" s="22"/>
    </row>
    <row r="30" spans="1:5">
      <c r="A30" s="17"/>
      <c r="B30" s="15" t="s">
        <v>29</v>
      </c>
      <c r="C30" s="290">
        <f>KK!K434</f>
        <v>-6246731</v>
      </c>
      <c r="D30" s="486"/>
    </row>
    <row r="31" spans="1:5">
      <c r="A31" s="17"/>
      <c r="B31" s="15" t="s">
        <v>30</v>
      </c>
      <c r="C31" s="290">
        <f>KK!AC434</f>
        <v>-1750000</v>
      </c>
      <c r="D31" s="486"/>
    </row>
    <row r="32" spans="1:5">
      <c r="A32" s="17"/>
      <c r="B32" s="15" t="s">
        <v>223</v>
      </c>
      <c r="C32" s="290">
        <f>KK!M434</f>
        <v>-100000</v>
      </c>
      <c r="D32" s="486"/>
    </row>
    <row r="33" spans="1:5">
      <c r="A33" s="17"/>
      <c r="B33" s="15" t="s">
        <v>224</v>
      </c>
      <c r="C33" s="290">
        <f>KK!N434</f>
        <v>-432000</v>
      </c>
      <c r="D33" s="486"/>
      <c r="E33" s="22"/>
    </row>
    <row r="34" spans="1:5">
      <c r="A34" s="17"/>
      <c r="B34" s="15" t="s">
        <v>225</v>
      </c>
      <c r="C34" s="290">
        <f>KK!O434</f>
        <v>0</v>
      </c>
      <c r="D34" s="486"/>
    </row>
    <row r="35" spans="1:5">
      <c r="A35" s="17"/>
      <c r="B35" s="15" t="s">
        <v>226</v>
      </c>
      <c r="C35" s="290">
        <f>KK!P434</f>
        <v>-662356</v>
      </c>
      <c r="D35" s="486"/>
    </row>
    <row r="36" spans="1:5">
      <c r="A36" s="17"/>
      <c r="B36" s="15" t="s">
        <v>227</v>
      </c>
      <c r="C36" s="290">
        <f>KK!Q434</f>
        <v>-2594500</v>
      </c>
      <c r="D36" s="486"/>
    </row>
    <row r="37" spans="1:5">
      <c r="A37" s="17"/>
      <c r="B37" s="15" t="s">
        <v>228</v>
      </c>
      <c r="C37" s="290">
        <f>KK!R434</f>
        <v>-1014267</v>
      </c>
      <c r="D37" s="486"/>
    </row>
    <row r="38" spans="1:5">
      <c r="A38" s="17"/>
      <c r="B38" s="15" t="s">
        <v>188</v>
      </c>
      <c r="C38" s="290">
        <f>KK!W434</f>
        <v>-73500</v>
      </c>
      <c r="D38" s="486"/>
    </row>
    <row r="39" spans="1:5">
      <c r="A39" s="17"/>
      <c r="B39" s="15" t="s">
        <v>31</v>
      </c>
      <c r="C39" s="290">
        <f>KK!Y434</f>
        <v>0</v>
      </c>
      <c r="D39" s="486"/>
    </row>
    <row r="40" spans="1:5">
      <c r="A40" s="17"/>
      <c r="B40" s="15" t="s">
        <v>116</v>
      </c>
      <c r="C40" s="290">
        <f>KK!S434</f>
        <v>-20493439</v>
      </c>
      <c r="D40" s="486"/>
    </row>
    <row r="41" spans="1:5">
      <c r="A41" s="17"/>
      <c r="B41" s="15" t="s">
        <v>117</v>
      </c>
      <c r="C41" s="290">
        <f>KK!T434</f>
        <v>-568600</v>
      </c>
      <c r="D41" s="486"/>
    </row>
    <row r="42" spans="1:5">
      <c r="A42" s="17"/>
      <c r="B42" s="15" t="s">
        <v>127</v>
      </c>
      <c r="C42" s="290">
        <f>KK!V434</f>
        <v>-80891</v>
      </c>
      <c r="D42" s="486"/>
    </row>
    <row r="43" spans="1:5">
      <c r="A43" s="17"/>
      <c r="B43" s="15" t="s">
        <v>221</v>
      </c>
      <c r="C43" s="290">
        <f>KK!Z434</f>
        <v>-1123850</v>
      </c>
      <c r="D43" s="486"/>
    </row>
    <row r="44" spans="1:5">
      <c r="A44" s="17"/>
      <c r="B44" s="15" t="s">
        <v>222</v>
      </c>
      <c r="C44" s="290">
        <f>KK!AA434</f>
        <v>-2282588</v>
      </c>
      <c r="D44" s="486"/>
    </row>
    <row r="45" spans="1:5">
      <c r="A45" s="17"/>
      <c r="B45" s="15" t="s">
        <v>32</v>
      </c>
      <c r="C45" s="290">
        <f>KK!AB434</f>
        <v>-676300</v>
      </c>
      <c r="D45" s="486"/>
    </row>
    <row r="46" spans="1:5">
      <c r="A46" s="17"/>
      <c r="B46" s="15" t="s">
        <v>33</v>
      </c>
      <c r="C46" s="290">
        <f>KK!AI434</f>
        <v>-300000</v>
      </c>
      <c r="D46" s="486"/>
    </row>
    <row r="47" spans="1:5">
      <c r="A47" s="17"/>
      <c r="B47" s="15" t="s">
        <v>203</v>
      </c>
      <c r="C47" s="290">
        <f>KK!AH434</f>
        <v>0</v>
      </c>
      <c r="D47" s="486"/>
    </row>
    <row r="48" spans="1:5">
      <c r="A48" s="17"/>
      <c r="B48" s="15" t="s">
        <v>141</v>
      </c>
      <c r="C48" s="290">
        <f>KK!X434</f>
        <v>-1400000</v>
      </c>
      <c r="D48" s="486"/>
    </row>
    <row r="49" spans="1:4">
      <c r="A49" s="17"/>
      <c r="B49" s="15" t="s">
        <v>143</v>
      </c>
      <c r="C49" s="290">
        <f>KK!AE434</f>
        <v>-8544757</v>
      </c>
      <c r="D49" s="486"/>
    </row>
    <row r="50" spans="1:4">
      <c r="A50" s="17"/>
      <c r="B50" s="15" t="s">
        <v>204</v>
      </c>
      <c r="C50" s="290">
        <f>KK!AG434</f>
        <v>-24007562</v>
      </c>
      <c r="D50" s="486"/>
    </row>
    <row r="51" spans="1:4">
      <c r="A51" s="17"/>
      <c r="B51" s="15" t="s">
        <v>142</v>
      </c>
      <c r="C51" s="290">
        <f>KK!AF434</f>
        <v>-22198105</v>
      </c>
      <c r="D51" s="486"/>
    </row>
    <row r="52" spans="1:4">
      <c r="A52" s="17"/>
      <c r="B52" s="15" t="s">
        <v>144</v>
      </c>
      <c r="C52" s="290">
        <f>KK!AD434</f>
        <v>-3774500</v>
      </c>
      <c r="D52" s="486"/>
    </row>
    <row r="53" spans="1:4">
      <c r="A53" s="17"/>
      <c r="B53" s="15" t="s">
        <v>34</v>
      </c>
      <c r="C53" s="290">
        <f>KK!L434</f>
        <v>-181140</v>
      </c>
      <c r="D53" s="486"/>
    </row>
    <row r="54" spans="1:4">
      <c r="A54" s="17"/>
      <c r="B54" s="15" t="s">
        <v>35</v>
      </c>
      <c r="C54" s="290">
        <f>KK!AJ434</f>
        <v>0</v>
      </c>
      <c r="D54" s="486"/>
    </row>
    <row r="55" spans="1:4">
      <c r="A55" s="17"/>
      <c r="B55" s="261" t="s">
        <v>469</v>
      </c>
      <c r="C55" s="290">
        <f>KK!E434</f>
        <v>-86007362</v>
      </c>
      <c r="D55" s="486"/>
    </row>
    <row r="56" spans="1:4">
      <c r="A56" s="17"/>
      <c r="B56" s="261" t="s">
        <v>470</v>
      </c>
      <c r="C56" s="290">
        <f>KK!F434</f>
        <v>0</v>
      </c>
      <c r="D56" s="486"/>
    </row>
    <row r="57" spans="1:4">
      <c r="A57" s="165"/>
      <c r="B57" s="15" t="s">
        <v>36</v>
      </c>
      <c r="C57" s="81">
        <f>KK!AK434</f>
        <v>-366144</v>
      </c>
      <c r="D57" s="487"/>
    </row>
    <row r="58" spans="1:4" ht="16.5" thickBot="1">
      <c r="B58" s="162" t="s">
        <v>37</v>
      </c>
      <c r="C58" s="163">
        <f>SUM(C3+D4+D13)+D26</f>
        <v>37127619</v>
      </c>
      <c r="D58" s="20"/>
    </row>
    <row r="59" spans="1:4" ht="15.75" thickTop="1">
      <c r="C59" s="19"/>
    </row>
    <row r="60" spans="1:4">
      <c r="C60" s="22"/>
    </row>
    <row r="61" spans="1:4">
      <c r="C61" s="22"/>
    </row>
    <row r="62" spans="1:4">
      <c r="C62" s="22">
        <f>C58-Cashflow!D588</f>
        <v>0</v>
      </c>
    </row>
    <row r="63" spans="1:4">
      <c r="C63" s="22"/>
    </row>
    <row r="64" spans="1:4">
      <c r="C64" s="22"/>
    </row>
  </sheetData>
  <mergeCells count="3">
    <mergeCell ref="A1:D1"/>
    <mergeCell ref="D13:D23"/>
    <mergeCell ref="D26:D57"/>
  </mergeCells>
  <pageMargins left="0.70866141732283472" right="0.70866141732283472" top="0.55118110236220474" bottom="0.55118110236220474" header="0.31496062992125984" footer="0.31496062992125984"/>
  <pageSetup paperSize="9" scale="8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opLeftCell="A13" workbookViewId="0">
      <selection activeCell="H27" sqref="H27:H29"/>
    </sheetView>
  </sheetViews>
  <sheetFormatPr defaultRowHeight="15"/>
  <cols>
    <col min="1" max="1" width="3" bestFit="1" customWidth="1"/>
    <col min="2" max="2" width="10.140625" bestFit="1" customWidth="1"/>
    <col min="3" max="3" width="11.140625" style="32" bestFit="1" customWidth="1"/>
    <col min="4" max="4" width="4" customWidth="1"/>
    <col min="5" max="5" width="3" bestFit="1" customWidth="1"/>
    <col min="6" max="6" width="10.7109375" bestFit="1" customWidth="1"/>
    <col min="7" max="7" width="55.85546875" customWidth="1"/>
    <col min="8" max="8" width="12.85546875" style="32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>
      <c r="A1" s="493" t="s">
        <v>148</v>
      </c>
      <c r="B1" s="494"/>
      <c r="C1" s="495"/>
      <c r="D1" s="26"/>
      <c r="E1" s="493" t="s">
        <v>149</v>
      </c>
      <c r="F1" s="494"/>
      <c r="G1" s="494"/>
      <c r="H1" s="496"/>
      <c r="J1" s="491" t="s">
        <v>133</v>
      </c>
      <c r="K1" s="491"/>
      <c r="L1" s="491"/>
      <c r="M1" s="491"/>
    </row>
    <row r="2" spans="1:13">
      <c r="A2" s="45" t="s">
        <v>8</v>
      </c>
      <c r="B2" s="91">
        <v>45413</v>
      </c>
      <c r="C2" s="110">
        <v>240000</v>
      </c>
      <c r="E2" s="45" t="s">
        <v>8</v>
      </c>
      <c r="F2" s="354">
        <v>45430</v>
      </c>
      <c r="G2" s="72" t="s">
        <v>1078</v>
      </c>
      <c r="H2" s="93">
        <v>210000</v>
      </c>
      <c r="J2" s="15">
        <v>1</v>
      </c>
      <c r="K2" s="354">
        <v>45416</v>
      </c>
      <c r="L2" s="72" t="s">
        <v>900</v>
      </c>
      <c r="M2" s="93">
        <v>262000</v>
      </c>
    </row>
    <row r="3" spans="1:13">
      <c r="A3" s="45" t="s">
        <v>9</v>
      </c>
      <c r="B3" s="91">
        <v>45414</v>
      </c>
      <c r="C3" s="110">
        <v>50000</v>
      </c>
      <c r="E3" s="45" t="s">
        <v>9</v>
      </c>
      <c r="F3" s="354">
        <v>45438</v>
      </c>
      <c r="G3" s="287" t="s">
        <v>1427</v>
      </c>
      <c r="H3" s="93">
        <v>40000</v>
      </c>
      <c r="J3" s="15">
        <v>2</v>
      </c>
      <c r="K3" s="91"/>
      <c r="L3" s="49"/>
      <c r="M3" s="93"/>
    </row>
    <row r="4" spans="1:13">
      <c r="A4" s="45" t="s">
        <v>14</v>
      </c>
      <c r="B4" s="91">
        <v>45415</v>
      </c>
      <c r="C4" s="110">
        <v>140000</v>
      </c>
      <c r="E4" s="45" t="s">
        <v>14</v>
      </c>
      <c r="F4" s="91"/>
      <c r="G4" s="287"/>
      <c r="H4" s="93"/>
      <c r="J4" s="15">
        <v>3</v>
      </c>
      <c r="K4" s="91"/>
      <c r="L4" s="49"/>
      <c r="M4" s="93"/>
    </row>
    <row r="5" spans="1:13">
      <c r="A5" s="45" t="s">
        <v>23</v>
      </c>
      <c r="B5" s="91">
        <v>45416</v>
      </c>
      <c r="C5" s="70">
        <v>230000</v>
      </c>
      <c r="E5" s="45" t="s">
        <v>23</v>
      </c>
      <c r="F5" s="91"/>
      <c r="G5" s="72"/>
      <c r="H5" s="93"/>
      <c r="J5" s="15">
        <v>4</v>
      </c>
      <c r="K5" s="15"/>
      <c r="L5" s="15"/>
      <c r="M5" s="15"/>
    </row>
    <row r="6" spans="1:13">
      <c r="A6" s="45" t="s">
        <v>79</v>
      </c>
      <c r="B6" s="91">
        <v>45417</v>
      </c>
      <c r="C6" s="70">
        <v>240000</v>
      </c>
      <c r="E6" s="45" t="s">
        <v>79</v>
      </c>
      <c r="F6" s="91"/>
      <c r="G6" s="368"/>
      <c r="H6" s="93"/>
      <c r="J6" s="15">
        <v>5</v>
      </c>
      <c r="K6" s="91"/>
      <c r="L6" s="49"/>
      <c r="M6" s="93"/>
    </row>
    <row r="7" spans="1:13">
      <c r="A7" s="45" t="s">
        <v>80</v>
      </c>
      <c r="B7" s="91">
        <v>45418</v>
      </c>
      <c r="C7" s="70">
        <v>30000</v>
      </c>
      <c r="E7" s="45" t="s">
        <v>80</v>
      </c>
      <c r="F7" s="91"/>
      <c r="G7" s="418"/>
      <c r="H7" s="59"/>
      <c r="J7" s="15">
        <v>6</v>
      </c>
      <c r="K7" s="91"/>
      <c r="L7" s="49"/>
      <c r="M7" s="93"/>
    </row>
    <row r="8" spans="1:13" ht="15.75" customHeight="1">
      <c r="A8" s="45" t="s">
        <v>81</v>
      </c>
      <c r="B8" s="91">
        <v>45419</v>
      </c>
      <c r="C8" s="110">
        <v>30000</v>
      </c>
      <c r="E8" s="45" t="s">
        <v>81</v>
      </c>
      <c r="F8" s="46"/>
      <c r="G8" s="64"/>
      <c r="H8" s="60"/>
      <c r="J8" s="15">
        <v>7</v>
      </c>
      <c r="K8" s="15"/>
      <c r="L8" s="15"/>
      <c r="M8" s="16"/>
    </row>
    <row r="9" spans="1:13">
      <c r="A9" s="45" t="s">
        <v>82</v>
      </c>
      <c r="B9" s="91">
        <v>45420</v>
      </c>
      <c r="C9" s="110">
        <v>30000</v>
      </c>
      <c r="E9" s="45" t="s">
        <v>82</v>
      </c>
      <c r="F9" s="46"/>
      <c r="G9" s="49"/>
      <c r="H9" s="60"/>
      <c r="J9" s="15">
        <v>8</v>
      </c>
      <c r="K9" s="15"/>
      <c r="L9" s="15"/>
      <c r="M9" s="16"/>
    </row>
    <row r="10" spans="1:13">
      <c r="A10" s="45" t="s">
        <v>83</v>
      </c>
      <c r="B10" s="91">
        <v>45421</v>
      </c>
      <c r="C10" s="70">
        <v>250000</v>
      </c>
      <c r="E10" s="45" t="s">
        <v>83</v>
      </c>
      <c r="F10" s="15"/>
      <c r="G10" s="15"/>
      <c r="H10" s="16"/>
      <c r="J10" s="15">
        <v>9</v>
      </c>
      <c r="K10" s="15"/>
      <c r="L10" s="15"/>
      <c r="M10" s="16"/>
    </row>
    <row r="11" spans="1:13">
      <c r="A11" s="45" t="s">
        <v>84</v>
      </c>
      <c r="B11" s="91">
        <v>45422</v>
      </c>
      <c r="C11" s="110">
        <v>240000</v>
      </c>
      <c r="E11" s="492" t="s">
        <v>95</v>
      </c>
      <c r="F11" s="492"/>
      <c r="G11" s="492"/>
      <c r="H11" s="16">
        <f>SUM(H2:H10)</f>
        <v>250000</v>
      </c>
      <c r="J11" s="497" t="s">
        <v>95</v>
      </c>
      <c r="K11" s="498"/>
      <c r="L11" s="499"/>
      <c r="M11" s="16">
        <f>SUM(M2:M10)</f>
        <v>262000</v>
      </c>
    </row>
    <row r="12" spans="1:13">
      <c r="A12" s="45" t="s">
        <v>85</v>
      </c>
      <c r="B12" s="91">
        <v>45423</v>
      </c>
      <c r="C12" s="110">
        <v>150000</v>
      </c>
    </row>
    <row r="13" spans="1:13">
      <c r="A13" s="45" t="s">
        <v>86</v>
      </c>
      <c r="B13" s="91">
        <v>45424</v>
      </c>
      <c r="C13" s="16">
        <v>170000</v>
      </c>
      <c r="E13" s="488" t="s">
        <v>134</v>
      </c>
      <c r="F13" s="489"/>
      <c r="G13" s="489"/>
      <c r="H13" s="490"/>
      <c r="J13" s="488" t="s">
        <v>132</v>
      </c>
      <c r="K13" s="489"/>
      <c r="L13" s="489"/>
      <c r="M13" s="490"/>
    </row>
    <row r="14" spans="1:13">
      <c r="A14" s="45" t="s">
        <v>87</v>
      </c>
      <c r="B14" s="91">
        <v>45425</v>
      </c>
      <c r="C14" s="16">
        <v>80000</v>
      </c>
      <c r="E14" s="15">
        <v>1</v>
      </c>
      <c r="F14" s="354">
        <v>45416</v>
      </c>
      <c r="G14" s="72" t="s">
        <v>899</v>
      </c>
      <c r="H14" s="93">
        <v>541000</v>
      </c>
      <c r="J14" s="15">
        <v>1</v>
      </c>
      <c r="K14" s="91"/>
      <c r="L14" s="49"/>
      <c r="M14" s="71"/>
    </row>
    <row r="15" spans="1:13">
      <c r="A15" s="45" t="s">
        <v>88</v>
      </c>
      <c r="B15" s="91">
        <v>45426</v>
      </c>
      <c r="C15" s="16">
        <v>110000</v>
      </c>
      <c r="E15" s="15">
        <v>2</v>
      </c>
      <c r="F15" s="354"/>
      <c r="G15" s="72"/>
      <c r="H15" s="93"/>
      <c r="J15" s="15">
        <v>2</v>
      </c>
      <c r="K15" s="15"/>
      <c r="L15" s="15"/>
      <c r="M15" s="15"/>
    </row>
    <row r="16" spans="1:13">
      <c r="A16" s="45" t="s">
        <v>89</v>
      </c>
      <c r="B16" s="91">
        <v>45427</v>
      </c>
      <c r="C16" s="16"/>
      <c r="E16" s="15">
        <v>3</v>
      </c>
      <c r="F16" s="366"/>
      <c r="G16" s="72"/>
      <c r="H16" s="93"/>
      <c r="J16" s="15">
        <v>3</v>
      </c>
      <c r="K16" s="15"/>
      <c r="L16" s="15"/>
      <c r="M16" s="15"/>
    </row>
    <row r="17" spans="1:13">
      <c r="A17" s="45" t="s">
        <v>90</v>
      </c>
      <c r="B17" s="91">
        <v>45428</v>
      </c>
      <c r="C17" s="16">
        <v>100000</v>
      </c>
      <c r="E17" s="15">
        <v>4</v>
      </c>
      <c r="J17" s="15">
        <v>4</v>
      </c>
      <c r="K17" s="15"/>
      <c r="L17" s="15"/>
      <c r="M17" s="15"/>
    </row>
    <row r="18" spans="1:13">
      <c r="A18" s="45" t="s">
        <v>91</v>
      </c>
      <c r="B18" s="91">
        <v>45429</v>
      </c>
      <c r="C18" s="16">
        <v>200000</v>
      </c>
      <c r="E18" s="15">
        <v>5</v>
      </c>
      <c r="F18" s="15"/>
      <c r="G18" s="15"/>
      <c r="H18" s="47"/>
      <c r="J18" s="15">
        <v>5</v>
      </c>
      <c r="K18" s="15"/>
      <c r="L18" s="15"/>
      <c r="M18" s="15"/>
    </row>
    <row r="19" spans="1:13">
      <c r="A19" s="45" t="s">
        <v>92</v>
      </c>
      <c r="B19" s="91">
        <v>45430</v>
      </c>
      <c r="C19" s="16">
        <v>280000</v>
      </c>
      <c r="E19" s="15">
        <v>6</v>
      </c>
      <c r="F19" s="15"/>
      <c r="G19" s="15"/>
      <c r="H19" s="47"/>
      <c r="J19" s="15">
        <v>6</v>
      </c>
      <c r="K19" s="15"/>
      <c r="L19" s="15"/>
      <c r="M19" s="15"/>
    </row>
    <row r="20" spans="1:13">
      <c r="A20" s="45" t="s">
        <v>93</v>
      </c>
      <c r="B20" s="91">
        <v>45431</v>
      </c>
      <c r="C20" s="16">
        <v>220000</v>
      </c>
      <c r="E20" s="15">
        <v>7</v>
      </c>
      <c r="F20" s="15"/>
      <c r="G20" s="15"/>
      <c r="H20" s="47"/>
      <c r="J20" s="15">
        <v>7</v>
      </c>
      <c r="K20" s="15"/>
      <c r="L20" s="15"/>
      <c r="M20" s="15"/>
    </row>
    <row r="21" spans="1:13">
      <c r="A21" s="45" t="s">
        <v>94</v>
      </c>
      <c r="B21" s="91">
        <v>45432</v>
      </c>
      <c r="C21" s="16"/>
      <c r="E21" s="15">
        <v>8</v>
      </c>
      <c r="F21" s="15"/>
      <c r="G21" s="15"/>
      <c r="H21" s="47"/>
      <c r="J21" s="15">
        <v>8</v>
      </c>
      <c r="K21" s="15"/>
      <c r="L21" s="15"/>
      <c r="M21" s="15"/>
    </row>
    <row r="22" spans="1:13">
      <c r="A22" s="45" t="s">
        <v>96</v>
      </c>
      <c r="B22" s="91">
        <v>45433</v>
      </c>
      <c r="C22" s="16">
        <v>90000</v>
      </c>
      <c r="E22" s="497" t="s">
        <v>95</v>
      </c>
      <c r="F22" s="498"/>
      <c r="G22" s="499"/>
      <c r="H22" s="47">
        <f>SUM(H14:H21)</f>
        <v>541000</v>
      </c>
      <c r="J22" s="497" t="s">
        <v>95</v>
      </c>
      <c r="K22" s="498"/>
      <c r="L22" s="499"/>
      <c r="M22" s="48">
        <f>SUM(M14:M21)</f>
        <v>0</v>
      </c>
    </row>
    <row r="23" spans="1:13">
      <c r="A23" s="45" t="s">
        <v>97</v>
      </c>
      <c r="B23" s="91">
        <v>45434</v>
      </c>
      <c r="C23" s="16">
        <v>150000</v>
      </c>
    </row>
    <row r="24" spans="1:13">
      <c r="A24" s="45" t="s">
        <v>98</v>
      </c>
      <c r="B24" s="91">
        <v>45435</v>
      </c>
      <c r="C24" s="16">
        <v>160000</v>
      </c>
      <c r="G24" s="491" t="s">
        <v>694</v>
      </c>
      <c r="H24" s="491"/>
    </row>
    <row r="25" spans="1:13">
      <c r="A25" s="45" t="s">
        <v>99</v>
      </c>
      <c r="B25" s="91">
        <v>45436</v>
      </c>
      <c r="C25" s="16">
        <v>200000</v>
      </c>
      <c r="G25" s="15" t="s">
        <v>41</v>
      </c>
      <c r="H25" s="16">
        <f>C33</f>
        <v>4160000</v>
      </c>
    </row>
    <row r="26" spans="1:13">
      <c r="A26" s="45" t="s">
        <v>103</v>
      </c>
      <c r="B26" s="91">
        <v>45437</v>
      </c>
      <c r="C26" s="16">
        <v>170000</v>
      </c>
      <c r="G26" s="15" t="s">
        <v>42</v>
      </c>
      <c r="H26" s="16">
        <f>M22</f>
        <v>0</v>
      </c>
    </row>
    <row r="27" spans="1:13">
      <c r="A27" s="45" t="s">
        <v>104</v>
      </c>
      <c r="B27" s="91">
        <v>45438</v>
      </c>
      <c r="C27" s="110">
        <v>130000</v>
      </c>
      <c r="G27" s="15" t="s">
        <v>13</v>
      </c>
      <c r="H27" s="16">
        <f>H11</f>
        <v>250000</v>
      </c>
    </row>
    <row r="28" spans="1:13">
      <c r="A28" s="45" t="s">
        <v>105</v>
      </c>
      <c r="B28" s="91">
        <v>45439</v>
      </c>
      <c r="C28" s="110">
        <v>20000</v>
      </c>
      <c r="G28" s="15" t="s">
        <v>35</v>
      </c>
      <c r="H28" s="16">
        <f>M11</f>
        <v>262000</v>
      </c>
    </row>
    <row r="29" spans="1:13">
      <c r="A29" s="45" t="s">
        <v>106</v>
      </c>
      <c r="B29" s="91">
        <v>45440</v>
      </c>
      <c r="C29" s="110">
        <v>60000</v>
      </c>
      <c r="G29" s="15" t="s">
        <v>36</v>
      </c>
      <c r="H29" s="16">
        <f>H22</f>
        <v>541000</v>
      </c>
    </row>
    <row r="30" spans="1:13">
      <c r="A30" s="45" t="s">
        <v>139</v>
      </c>
      <c r="B30" s="91">
        <v>45441</v>
      </c>
      <c r="C30" s="110">
        <v>130000</v>
      </c>
      <c r="G30" s="50" t="s">
        <v>95</v>
      </c>
      <c r="H30" s="16">
        <f>SUM(H25:H29)</f>
        <v>5213000</v>
      </c>
    </row>
    <row r="31" spans="1:13">
      <c r="A31" s="45" t="s">
        <v>502</v>
      </c>
      <c r="B31" s="91">
        <v>45442</v>
      </c>
      <c r="C31" s="110"/>
      <c r="G31" s="355"/>
      <c r="H31" s="335"/>
    </row>
    <row r="32" spans="1:13">
      <c r="A32" s="45" t="s">
        <v>695</v>
      </c>
      <c r="B32" s="91">
        <v>45443</v>
      </c>
      <c r="C32" s="110">
        <v>260000</v>
      </c>
      <c r="G32" s="355"/>
      <c r="H32" s="335"/>
    </row>
    <row r="33" spans="1:3">
      <c r="A33" s="492" t="s">
        <v>95</v>
      </c>
      <c r="B33" s="492"/>
      <c r="C33" s="16">
        <f>SUM(C2:C32)</f>
        <v>4160000</v>
      </c>
    </row>
    <row r="34" spans="1:3">
      <c r="A34" s="30"/>
    </row>
    <row r="35" spans="1:3">
      <c r="A35" s="30"/>
    </row>
    <row r="36" spans="1:3">
      <c r="A36" s="30"/>
    </row>
    <row r="37" spans="1:3">
      <c r="A37" s="30"/>
    </row>
    <row r="38" spans="1:3">
      <c r="A38" s="30"/>
    </row>
    <row r="39" spans="1:3">
      <c r="A39" s="30"/>
    </row>
  </sheetData>
  <mergeCells count="11">
    <mergeCell ref="J13:M13"/>
    <mergeCell ref="J1:M1"/>
    <mergeCell ref="E13:H13"/>
    <mergeCell ref="A33:B33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scale="72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topLeftCell="D1" zoomScale="90" zoomScaleNormal="90" workbookViewId="0">
      <pane ySplit="1" topLeftCell="A2" activePane="bottomLeft" state="frozen"/>
      <selection activeCell="B46" sqref="B46"/>
      <selection pane="bottomLeft" activeCell="I26" sqref="I26"/>
    </sheetView>
  </sheetViews>
  <sheetFormatPr defaultColWidth="9.140625" defaultRowHeight="15.75"/>
  <cols>
    <col min="1" max="1" width="6.7109375" style="30" bestFit="1" customWidth="1"/>
    <col min="2" max="2" width="10.5703125" style="30" bestFit="1" customWidth="1"/>
    <col min="3" max="3" width="63.5703125" style="179" bestFit="1" customWidth="1"/>
    <col min="4" max="4" width="11.42578125" style="52" customWidth="1"/>
    <col min="5" max="5" width="12.5703125" style="52" customWidth="1"/>
    <col min="6" max="6" width="12.140625" style="52" customWidth="1"/>
    <col min="7" max="7" width="8.7109375" style="100" customWidth="1"/>
    <col min="8" max="8" width="12.85546875" style="159" customWidth="1"/>
    <col min="9" max="9" width="12.85546875" style="33" customWidth="1"/>
    <col min="10" max="11" width="12.85546875" style="58" customWidth="1"/>
    <col min="12" max="12" width="17" style="58" customWidth="1"/>
    <col min="13" max="13" width="11.5703125" style="58" bestFit="1" customWidth="1"/>
    <col min="14" max="14" width="14.7109375" style="58" customWidth="1"/>
    <col min="15" max="15" width="11.5703125" style="58" customWidth="1"/>
    <col min="16" max="16" width="29.7109375" style="58" customWidth="1"/>
    <col min="17" max="17" width="27" style="288" bestFit="1" customWidth="1"/>
    <col min="18" max="257" width="9.140625" style="288"/>
  </cols>
  <sheetData>
    <row r="1" spans="1:257" s="21" customFormat="1">
      <c r="A1" s="167" t="s">
        <v>45</v>
      </c>
      <c r="B1" s="167" t="s">
        <v>146</v>
      </c>
      <c r="C1" s="168" t="s">
        <v>78</v>
      </c>
      <c r="D1" s="169" t="s">
        <v>46</v>
      </c>
      <c r="E1" s="169" t="s">
        <v>47</v>
      </c>
      <c r="F1" s="168" t="s">
        <v>154</v>
      </c>
      <c r="G1" s="170" t="s">
        <v>131</v>
      </c>
      <c r="H1" s="171" t="s">
        <v>48</v>
      </c>
      <c r="I1" s="172" t="s">
        <v>49</v>
      </c>
      <c r="J1" s="173" t="s">
        <v>50</v>
      </c>
      <c r="K1" s="173" t="s">
        <v>51</v>
      </c>
      <c r="L1" s="173" t="s">
        <v>52</v>
      </c>
      <c r="M1" s="173" t="s">
        <v>53</v>
      </c>
      <c r="N1" s="173" t="s">
        <v>11</v>
      </c>
      <c r="O1" s="173" t="s">
        <v>159</v>
      </c>
      <c r="P1" s="420" t="s">
        <v>39</v>
      </c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  <c r="AU1" s="421"/>
      <c r="AV1" s="421"/>
      <c r="AW1" s="421"/>
      <c r="AX1" s="421"/>
      <c r="AY1" s="421"/>
      <c r="AZ1" s="421"/>
      <c r="BA1" s="421"/>
      <c r="BB1" s="421"/>
      <c r="BC1" s="421"/>
      <c r="BD1" s="421"/>
      <c r="BE1" s="421"/>
      <c r="BF1" s="421"/>
      <c r="BG1" s="421"/>
      <c r="BH1" s="421"/>
      <c r="BI1" s="421"/>
      <c r="BJ1" s="421"/>
      <c r="BK1" s="421"/>
      <c r="BL1" s="421"/>
      <c r="BM1" s="421"/>
      <c r="BN1" s="421"/>
      <c r="BO1" s="421"/>
      <c r="BP1" s="421"/>
      <c r="BQ1" s="421"/>
      <c r="BR1" s="421"/>
      <c r="BS1" s="421"/>
      <c r="BT1" s="421"/>
      <c r="BU1" s="421"/>
      <c r="BV1" s="421"/>
      <c r="BW1" s="421"/>
      <c r="BX1" s="421"/>
      <c r="BY1" s="421"/>
      <c r="BZ1" s="421"/>
      <c r="CA1" s="421"/>
      <c r="CB1" s="421"/>
      <c r="CC1" s="421"/>
      <c r="CD1" s="421"/>
      <c r="CE1" s="421"/>
      <c r="CF1" s="421"/>
      <c r="CG1" s="421"/>
      <c r="CH1" s="421"/>
      <c r="CI1" s="421"/>
      <c r="CJ1" s="421"/>
      <c r="CK1" s="421"/>
      <c r="CL1" s="421"/>
      <c r="CM1" s="421"/>
      <c r="CN1" s="421"/>
      <c r="CO1" s="421"/>
      <c r="CP1" s="421"/>
      <c r="CQ1" s="421"/>
      <c r="CR1" s="421"/>
      <c r="CS1" s="421"/>
      <c r="CT1" s="421"/>
      <c r="CU1" s="421"/>
      <c r="CV1" s="421"/>
      <c r="CW1" s="421"/>
      <c r="CX1" s="421"/>
      <c r="CY1" s="421"/>
      <c r="CZ1" s="421"/>
      <c r="DA1" s="421"/>
      <c r="DB1" s="421"/>
      <c r="DC1" s="421"/>
      <c r="DD1" s="421"/>
      <c r="DE1" s="421"/>
      <c r="DF1" s="421"/>
      <c r="DG1" s="421"/>
      <c r="DH1" s="421"/>
      <c r="DI1" s="421"/>
      <c r="DJ1" s="421"/>
      <c r="DK1" s="421"/>
      <c r="DL1" s="421"/>
      <c r="DM1" s="421"/>
      <c r="DN1" s="421"/>
      <c r="DO1" s="421"/>
      <c r="DP1" s="421"/>
      <c r="DQ1" s="421"/>
      <c r="DR1" s="421"/>
      <c r="DS1" s="421"/>
      <c r="DT1" s="421"/>
      <c r="DU1" s="421"/>
      <c r="DV1" s="421"/>
      <c r="DW1" s="421"/>
      <c r="DX1" s="421"/>
      <c r="DY1" s="421"/>
      <c r="DZ1" s="421"/>
      <c r="EA1" s="421"/>
      <c r="EB1" s="421"/>
      <c r="EC1" s="421"/>
      <c r="ED1" s="421"/>
      <c r="EE1" s="421"/>
      <c r="EF1" s="421"/>
      <c r="EG1" s="421"/>
      <c r="EH1" s="421"/>
      <c r="EI1" s="421"/>
      <c r="EJ1" s="421"/>
      <c r="EK1" s="421"/>
      <c r="EL1" s="421"/>
      <c r="EM1" s="421"/>
      <c r="EN1" s="421"/>
      <c r="EO1" s="421"/>
      <c r="EP1" s="421"/>
      <c r="EQ1" s="421"/>
      <c r="ER1" s="421"/>
      <c r="ES1" s="421"/>
      <c r="ET1" s="421"/>
      <c r="EU1" s="421"/>
      <c r="EV1" s="421"/>
      <c r="EW1" s="421"/>
      <c r="EX1" s="421"/>
      <c r="EY1" s="421"/>
      <c r="EZ1" s="421"/>
      <c r="FA1" s="421"/>
      <c r="FB1" s="421"/>
      <c r="FC1" s="421"/>
      <c r="FD1" s="421"/>
      <c r="FE1" s="421"/>
      <c r="FF1" s="421"/>
      <c r="FG1" s="421"/>
      <c r="FH1" s="421"/>
      <c r="FI1" s="421"/>
      <c r="FJ1" s="421"/>
      <c r="FK1" s="421"/>
      <c r="FL1" s="421"/>
      <c r="FM1" s="421"/>
      <c r="FN1" s="421"/>
      <c r="FO1" s="421"/>
      <c r="FP1" s="421"/>
      <c r="FQ1" s="421"/>
      <c r="FR1" s="421"/>
      <c r="FS1" s="421"/>
      <c r="FT1" s="421"/>
      <c r="FU1" s="421"/>
      <c r="FV1" s="421"/>
      <c r="FW1" s="421"/>
      <c r="FX1" s="421"/>
      <c r="FY1" s="421"/>
      <c r="FZ1" s="421"/>
      <c r="GA1" s="421"/>
      <c r="GB1" s="421"/>
      <c r="GC1" s="421"/>
      <c r="GD1" s="421"/>
      <c r="GE1" s="421"/>
      <c r="GF1" s="421"/>
      <c r="GG1" s="421"/>
      <c r="GH1" s="421"/>
      <c r="GI1" s="421"/>
      <c r="GJ1" s="421"/>
      <c r="GK1" s="421"/>
      <c r="GL1" s="421"/>
      <c r="GM1" s="421"/>
      <c r="GN1" s="421"/>
      <c r="GO1" s="421"/>
      <c r="GP1" s="421"/>
      <c r="GQ1" s="421"/>
      <c r="GR1" s="421"/>
      <c r="GS1" s="421"/>
      <c r="GT1" s="421"/>
      <c r="GU1" s="421"/>
      <c r="GV1" s="421"/>
      <c r="GW1" s="421"/>
      <c r="GX1" s="421"/>
      <c r="GY1" s="421"/>
      <c r="GZ1" s="421"/>
      <c r="HA1" s="421"/>
      <c r="HB1" s="421"/>
      <c r="HC1" s="421"/>
      <c r="HD1" s="421"/>
      <c r="HE1" s="421"/>
      <c r="HF1" s="421"/>
      <c r="HG1" s="421"/>
      <c r="HH1" s="421"/>
      <c r="HI1" s="421"/>
      <c r="HJ1" s="421"/>
      <c r="HK1" s="421"/>
      <c r="HL1" s="421"/>
      <c r="HM1" s="421"/>
      <c r="HN1" s="421"/>
      <c r="HO1" s="421"/>
      <c r="HP1" s="421"/>
      <c r="HQ1" s="421"/>
      <c r="HR1" s="421"/>
      <c r="HS1" s="421"/>
      <c r="HT1" s="421"/>
      <c r="HU1" s="421"/>
      <c r="HV1" s="421"/>
      <c r="HW1" s="421"/>
      <c r="HX1" s="421"/>
      <c r="HY1" s="421"/>
      <c r="HZ1" s="421"/>
      <c r="IA1" s="421"/>
      <c r="IB1" s="421"/>
      <c r="IC1" s="421"/>
      <c r="ID1" s="421"/>
      <c r="IE1" s="421"/>
      <c r="IF1" s="421"/>
      <c r="IG1" s="421"/>
      <c r="IH1" s="421"/>
      <c r="II1" s="421"/>
      <c r="IJ1" s="421"/>
      <c r="IK1" s="421"/>
      <c r="IL1" s="421"/>
      <c r="IM1" s="421"/>
      <c r="IN1" s="421"/>
      <c r="IO1" s="421"/>
      <c r="IP1" s="421"/>
      <c r="IQ1" s="421"/>
      <c r="IR1" s="421"/>
      <c r="IS1" s="421"/>
      <c r="IT1" s="421"/>
      <c r="IU1" s="421"/>
      <c r="IV1" s="421"/>
      <c r="IW1" s="421"/>
    </row>
    <row r="2" spans="1:257">
      <c r="A2" s="390" t="s">
        <v>696</v>
      </c>
      <c r="B2" s="174">
        <v>45423</v>
      </c>
      <c r="C2" s="72" t="s">
        <v>988</v>
      </c>
      <c r="D2" s="419">
        <v>45422</v>
      </c>
      <c r="E2" s="419">
        <v>45423</v>
      </c>
      <c r="F2" s="419" t="s">
        <v>614</v>
      </c>
      <c r="G2" s="356">
        <v>3</v>
      </c>
      <c r="H2" s="176">
        <v>440</v>
      </c>
      <c r="I2" s="93">
        <f>440000*3</f>
        <v>1320000</v>
      </c>
      <c r="J2" s="178">
        <v>880000</v>
      </c>
      <c r="K2" s="178"/>
      <c r="L2" s="178"/>
      <c r="M2" s="178"/>
      <c r="N2" s="182">
        <v>440000</v>
      </c>
      <c r="O2" s="178"/>
      <c r="P2" s="177"/>
    </row>
    <row r="3" spans="1:257">
      <c r="A3" s="390" t="s">
        <v>697</v>
      </c>
      <c r="B3" s="174">
        <v>45422</v>
      </c>
      <c r="C3" s="72" t="s">
        <v>972</v>
      </c>
      <c r="D3" s="419">
        <v>45422</v>
      </c>
      <c r="E3" s="419">
        <v>45423</v>
      </c>
      <c r="F3" s="419" t="s">
        <v>612</v>
      </c>
      <c r="G3" s="356">
        <v>1</v>
      </c>
      <c r="H3" s="176">
        <v>200</v>
      </c>
      <c r="I3" s="93">
        <v>200000</v>
      </c>
      <c r="J3" s="59">
        <f>I3</f>
        <v>200000</v>
      </c>
      <c r="K3" s="178"/>
      <c r="L3" s="178"/>
      <c r="M3" s="178"/>
      <c r="N3" s="178"/>
      <c r="O3" s="178"/>
      <c r="P3" s="177"/>
    </row>
    <row r="4" spans="1:257">
      <c r="A4" s="390" t="s">
        <v>698</v>
      </c>
      <c r="B4" s="174">
        <v>45422</v>
      </c>
      <c r="C4" s="72" t="s">
        <v>974</v>
      </c>
      <c r="D4" s="419">
        <v>45422</v>
      </c>
      <c r="E4" s="419">
        <v>45423</v>
      </c>
      <c r="F4" s="419" t="s">
        <v>611</v>
      </c>
      <c r="G4" s="356">
        <v>1</v>
      </c>
      <c r="H4" s="176">
        <v>228.66499999999999</v>
      </c>
      <c r="I4" s="93">
        <v>228665</v>
      </c>
      <c r="J4" s="93"/>
      <c r="K4" s="178"/>
      <c r="L4" s="182">
        <f>I4</f>
        <v>228665</v>
      </c>
      <c r="M4" s="178"/>
      <c r="N4" s="178"/>
      <c r="O4" s="178"/>
      <c r="P4" s="177"/>
    </row>
    <row r="5" spans="1:257">
      <c r="A5" s="390" t="s">
        <v>699</v>
      </c>
      <c r="B5" s="174">
        <v>45422</v>
      </c>
      <c r="C5" s="72" t="s">
        <v>976</v>
      </c>
      <c r="D5" s="419">
        <v>45422</v>
      </c>
      <c r="E5" s="419">
        <v>45423</v>
      </c>
      <c r="F5" s="419" t="s">
        <v>612</v>
      </c>
      <c r="G5" s="356">
        <v>1</v>
      </c>
      <c r="H5" s="176">
        <v>202.5</v>
      </c>
      <c r="I5" s="177">
        <v>202500</v>
      </c>
      <c r="J5" s="178"/>
      <c r="K5" s="178">
        <f>I5</f>
        <v>202500</v>
      </c>
      <c r="L5" s="178"/>
      <c r="M5" s="178"/>
      <c r="N5" s="178"/>
      <c r="O5" s="178"/>
      <c r="P5" s="177"/>
    </row>
    <row r="6" spans="1:257">
      <c r="A6" s="390" t="s">
        <v>700</v>
      </c>
      <c r="B6" s="174">
        <v>45422</v>
      </c>
      <c r="C6" s="72" t="s">
        <v>978</v>
      </c>
      <c r="D6" s="419">
        <v>45422</v>
      </c>
      <c r="E6" s="419">
        <v>45423</v>
      </c>
      <c r="F6" s="419" t="s">
        <v>612</v>
      </c>
      <c r="G6" s="356">
        <v>2</v>
      </c>
      <c r="H6" s="176">
        <v>202.5</v>
      </c>
      <c r="I6" s="177">
        <v>405000</v>
      </c>
      <c r="J6" s="178"/>
      <c r="K6" s="178">
        <f>I6</f>
        <v>405000</v>
      </c>
      <c r="L6" s="178"/>
      <c r="M6" s="178"/>
      <c r="N6" s="178"/>
      <c r="O6" s="178"/>
      <c r="P6" s="177"/>
    </row>
    <row r="7" spans="1:257">
      <c r="A7" s="390" t="s">
        <v>701</v>
      </c>
      <c r="B7" s="174">
        <v>45425</v>
      </c>
      <c r="C7" s="72" t="s">
        <v>1010</v>
      </c>
      <c r="D7" s="419">
        <v>45423</v>
      </c>
      <c r="E7" s="419">
        <v>45424</v>
      </c>
      <c r="F7" s="419" t="s">
        <v>612</v>
      </c>
      <c r="G7" s="356">
        <v>1</v>
      </c>
      <c r="H7" s="176">
        <v>202.5</v>
      </c>
      <c r="I7" s="93">
        <v>202500</v>
      </c>
      <c r="J7" s="178"/>
      <c r="K7" s="178">
        <f>I7</f>
        <v>202500</v>
      </c>
      <c r="L7" s="178"/>
      <c r="M7" s="178"/>
      <c r="N7" s="178"/>
      <c r="O7" s="178"/>
      <c r="P7" s="177"/>
    </row>
    <row r="8" spans="1:257">
      <c r="A8" s="390" t="s">
        <v>702</v>
      </c>
      <c r="B8" s="174">
        <v>45430</v>
      </c>
      <c r="C8" s="72" t="s">
        <v>1072</v>
      </c>
      <c r="D8" s="419">
        <v>45430</v>
      </c>
      <c r="E8" s="419">
        <v>45431</v>
      </c>
      <c r="F8" s="419" t="s">
        <v>613</v>
      </c>
      <c r="G8" s="356">
        <v>1</v>
      </c>
      <c r="H8" s="176">
        <v>270</v>
      </c>
      <c r="I8" s="177">
        <v>270000</v>
      </c>
      <c r="J8" s="178">
        <f>I8</f>
        <v>270000</v>
      </c>
      <c r="K8" s="178"/>
      <c r="L8" s="182"/>
      <c r="M8" s="178"/>
      <c r="N8" s="178"/>
      <c r="O8" s="178"/>
      <c r="P8" s="177"/>
    </row>
    <row r="9" spans="1:257">
      <c r="A9" s="390" t="s">
        <v>703</v>
      </c>
      <c r="B9" s="174">
        <v>45430</v>
      </c>
      <c r="C9" s="72" t="s">
        <v>1076</v>
      </c>
      <c r="D9" s="419">
        <v>45430</v>
      </c>
      <c r="E9" s="419">
        <v>45431</v>
      </c>
      <c r="F9" s="445" t="s">
        <v>613</v>
      </c>
      <c r="G9" s="356">
        <v>1</v>
      </c>
      <c r="H9" s="176">
        <v>230</v>
      </c>
      <c r="I9" s="177">
        <v>230000</v>
      </c>
      <c r="J9" s="178">
        <f>I9</f>
        <v>230000</v>
      </c>
      <c r="K9" s="178"/>
      <c r="L9" s="178"/>
      <c r="M9" s="178"/>
      <c r="N9" s="178"/>
      <c r="O9" s="178"/>
      <c r="P9" s="177"/>
    </row>
    <row r="10" spans="1:257">
      <c r="A10" s="390" t="s">
        <v>704</v>
      </c>
      <c r="B10" s="174">
        <v>45430</v>
      </c>
      <c r="C10" s="72" t="s">
        <v>1082</v>
      </c>
      <c r="D10" s="419">
        <v>45430</v>
      </c>
      <c r="E10" s="419">
        <v>45431</v>
      </c>
      <c r="F10" s="445" t="s">
        <v>613</v>
      </c>
      <c r="G10" s="356">
        <v>1</v>
      </c>
      <c r="H10" s="176">
        <v>230</v>
      </c>
      <c r="I10" s="177">
        <v>230000</v>
      </c>
      <c r="J10" s="42">
        <f>I10</f>
        <v>230000</v>
      </c>
      <c r="K10" s="357"/>
      <c r="L10" s="357"/>
      <c r="M10" s="357"/>
      <c r="N10" s="364"/>
      <c r="O10" s="178"/>
      <c r="P10" s="177"/>
    </row>
    <row r="11" spans="1:257">
      <c r="A11" s="390" t="s">
        <v>705</v>
      </c>
      <c r="B11" s="174">
        <v>45430</v>
      </c>
      <c r="C11" s="72" t="s">
        <v>1083</v>
      </c>
      <c r="D11" s="419">
        <v>45430</v>
      </c>
      <c r="E11" s="419">
        <v>45431</v>
      </c>
      <c r="F11" s="445" t="s">
        <v>1111</v>
      </c>
      <c r="G11" s="356">
        <v>1</v>
      </c>
      <c r="H11" s="176">
        <v>230</v>
      </c>
      <c r="I11" s="177">
        <v>230000</v>
      </c>
      <c r="J11" s="178">
        <f>I11</f>
        <v>230000</v>
      </c>
      <c r="K11" s="178"/>
      <c r="L11" s="178"/>
      <c r="M11" s="178"/>
      <c r="N11" s="182"/>
      <c r="O11" s="178"/>
      <c r="P11" s="177"/>
    </row>
    <row r="12" spans="1:257">
      <c r="A12" s="390" t="s">
        <v>706</v>
      </c>
      <c r="B12" s="174">
        <v>45431</v>
      </c>
      <c r="C12" s="72" t="s">
        <v>1089</v>
      </c>
      <c r="D12" s="419">
        <v>45431</v>
      </c>
      <c r="E12" s="419">
        <v>45432</v>
      </c>
      <c r="F12" s="445" t="s">
        <v>614</v>
      </c>
      <c r="G12" s="356">
        <v>1</v>
      </c>
      <c r="H12" s="176">
        <v>440</v>
      </c>
      <c r="I12" s="177">
        <v>440000</v>
      </c>
      <c r="J12" s="178"/>
      <c r="K12" s="178"/>
      <c r="L12" s="178"/>
      <c r="M12" s="178"/>
      <c r="N12" s="182">
        <f>I12</f>
        <v>440000</v>
      </c>
      <c r="O12" s="178"/>
      <c r="P12" s="177"/>
    </row>
    <row r="13" spans="1:257" s="358" customFormat="1">
      <c r="A13" s="390" t="s">
        <v>707</v>
      </c>
      <c r="B13" s="174">
        <v>45436</v>
      </c>
      <c r="C13" s="72" t="s">
        <v>1255</v>
      </c>
      <c r="D13" s="419">
        <v>45436</v>
      </c>
      <c r="E13" s="419">
        <v>45437</v>
      </c>
      <c r="F13" s="445" t="s">
        <v>611</v>
      </c>
      <c r="G13" s="356">
        <v>1</v>
      </c>
      <c r="H13" s="176">
        <v>270</v>
      </c>
      <c r="I13" s="177">
        <v>270000</v>
      </c>
      <c r="J13" s="178">
        <f>I13</f>
        <v>270000</v>
      </c>
      <c r="K13" s="178"/>
      <c r="L13" s="178"/>
      <c r="M13" s="178"/>
      <c r="N13" s="178"/>
      <c r="O13" s="178"/>
      <c r="P13" s="177"/>
    </row>
    <row r="14" spans="1:257" s="358" customFormat="1">
      <c r="A14" s="390" t="s">
        <v>708</v>
      </c>
      <c r="B14" s="174">
        <v>45443</v>
      </c>
      <c r="C14" s="72" t="s">
        <v>1336</v>
      </c>
      <c r="D14" s="88">
        <v>45443</v>
      </c>
      <c r="E14" s="88">
        <v>45444</v>
      </c>
      <c r="F14" s="391" t="s">
        <v>612</v>
      </c>
      <c r="G14" s="175">
        <v>1</v>
      </c>
      <c r="H14" s="176">
        <v>240</v>
      </c>
      <c r="I14" s="93">
        <v>240000</v>
      </c>
      <c r="J14" s="178">
        <f>I14</f>
        <v>240000</v>
      </c>
      <c r="K14" s="178"/>
      <c r="L14" s="178"/>
      <c r="M14" s="178"/>
      <c r="N14" s="178"/>
      <c r="O14" s="178"/>
      <c r="P14" s="177" t="s">
        <v>1346</v>
      </c>
    </row>
    <row r="15" spans="1:257" s="358" customFormat="1">
      <c r="A15" s="390" t="s">
        <v>709</v>
      </c>
      <c r="B15" s="174">
        <v>45443</v>
      </c>
      <c r="C15" s="72" t="s">
        <v>1341</v>
      </c>
      <c r="D15" s="88">
        <v>45443</v>
      </c>
      <c r="E15" s="88">
        <v>45444</v>
      </c>
      <c r="F15" s="391" t="s">
        <v>611</v>
      </c>
      <c r="G15" s="175">
        <v>1</v>
      </c>
      <c r="H15" s="176">
        <v>270</v>
      </c>
      <c r="I15" s="93">
        <v>270000</v>
      </c>
      <c r="J15" s="178">
        <f>I15</f>
        <v>270000</v>
      </c>
      <c r="K15" s="178"/>
      <c r="L15" s="178"/>
      <c r="M15" s="178"/>
      <c r="N15" s="178"/>
      <c r="O15" s="178"/>
      <c r="P15" s="177"/>
    </row>
    <row r="16" spans="1:257" ht="15">
      <c r="A16" s="502" t="s">
        <v>95</v>
      </c>
      <c r="B16" s="503"/>
      <c r="C16" s="503"/>
      <c r="D16" s="503"/>
      <c r="E16" s="503"/>
      <c r="F16" s="503"/>
      <c r="G16" s="504"/>
      <c r="H16" s="158"/>
      <c r="I16" s="98">
        <f>SUM(I2:I15)</f>
        <v>4738665</v>
      </c>
      <c r="J16" s="468">
        <f t="shared" ref="J16:P16" si="0">SUM(J2:J15)</f>
        <v>2820000</v>
      </c>
      <c r="K16" s="98">
        <f t="shared" si="0"/>
        <v>810000</v>
      </c>
      <c r="L16" s="98">
        <f t="shared" si="0"/>
        <v>228665</v>
      </c>
      <c r="M16" s="98">
        <f t="shared" si="0"/>
        <v>0</v>
      </c>
      <c r="N16" s="98">
        <f t="shared" si="0"/>
        <v>880000</v>
      </c>
      <c r="O16" s="98">
        <f t="shared" si="0"/>
        <v>0</v>
      </c>
      <c r="P16" s="98">
        <f t="shared" si="0"/>
        <v>0</v>
      </c>
    </row>
    <row r="18" spans="4:14">
      <c r="E18" s="99" t="s">
        <v>51</v>
      </c>
      <c r="F18" s="146">
        <f>K16</f>
        <v>810000</v>
      </c>
      <c r="H18" s="500" t="s">
        <v>68</v>
      </c>
      <c r="I18" s="501"/>
      <c r="K18" s="505" t="s">
        <v>145</v>
      </c>
      <c r="L18" s="506"/>
    </row>
    <row r="19" spans="4:14">
      <c r="E19" s="99" t="s">
        <v>110</v>
      </c>
      <c r="F19" s="146">
        <f>L16</f>
        <v>228665</v>
      </c>
      <c r="H19" s="160">
        <f>J16</f>
        <v>2820000</v>
      </c>
      <c r="I19" s="53"/>
      <c r="K19" s="507">
        <f>J16+M16+N16</f>
        <v>3700000</v>
      </c>
      <c r="L19" s="508"/>
    </row>
    <row r="20" spans="4:14">
      <c r="E20" s="101" t="s">
        <v>95</v>
      </c>
      <c r="F20" s="129">
        <f>SUM(F18:F19)</f>
        <v>1038665</v>
      </c>
    </row>
    <row r="21" spans="4:14">
      <c r="F21" s="147"/>
      <c r="H21" s="218">
        <f>H19-Cashflow!G589</f>
        <v>0</v>
      </c>
    </row>
    <row r="23" spans="4:14">
      <c r="H23" s="100"/>
      <c r="N23" s="58">
        <f>Bank!J55-Bills!N16</f>
        <v>0</v>
      </c>
    </row>
    <row r="24" spans="4:14">
      <c r="D24" s="73"/>
    </row>
  </sheetData>
  <mergeCells count="4">
    <mergeCell ref="H18:I18"/>
    <mergeCell ref="A16:G16"/>
    <mergeCell ref="K18:L18"/>
    <mergeCell ref="K19:L19"/>
  </mergeCells>
  <phoneticPr fontId="24" type="noConversion"/>
  <pageMargins left="0.70866141732283472" right="0.70866141732283472" top="0.15748031496062992" bottom="0.15748031496062992" header="0.31496062992125984" footer="0.31496062992125984"/>
  <pageSetup paperSize="9" scale="50" fitToHeight="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opLeftCell="G1" zoomScale="86" zoomScaleNormal="86" workbookViewId="0">
      <pane ySplit="2" topLeftCell="A45" activePane="bottomLeft" state="frozen"/>
      <selection pane="bottomLeft" activeCell="L64" sqref="L64"/>
    </sheetView>
  </sheetViews>
  <sheetFormatPr defaultRowHeight="15"/>
  <cols>
    <col min="1" max="1" width="7.42578125" style="30" customWidth="1"/>
    <col min="2" max="2" width="14.7109375" style="34" customWidth="1"/>
    <col min="3" max="3" width="61.7109375" style="52" bestFit="1" customWidth="1"/>
    <col min="4" max="4" width="12" style="34" customWidth="1"/>
    <col min="5" max="5" width="14.85546875" style="186" customWidth="1"/>
    <col min="6" max="6" width="15.28515625" style="32" customWidth="1"/>
    <col min="7" max="7" width="14.42578125" style="120" customWidth="1"/>
    <col min="8" max="8" width="15.140625" style="120" customWidth="1"/>
    <col min="9" max="9" width="12.5703125" style="120" customWidth="1"/>
    <col min="10" max="10" width="14.42578125" style="123" customWidth="1"/>
    <col min="11" max="11" width="13.7109375" style="65" customWidth="1"/>
    <col min="12" max="12" width="12.5703125" style="65" customWidth="1"/>
    <col min="13" max="13" width="14.57031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>
      <c r="A1" s="526" t="s">
        <v>45</v>
      </c>
      <c r="B1" s="527" t="s">
        <v>140</v>
      </c>
      <c r="C1" s="494" t="s">
        <v>71</v>
      </c>
      <c r="D1" s="494" t="s">
        <v>46</v>
      </c>
      <c r="E1" s="494" t="s">
        <v>47</v>
      </c>
      <c r="F1" s="496" t="s">
        <v>72</v>
      </c>
      <c r="G1" s="144" t="s">
        <v>73</v>
      </c>
      <c r="H1" s="523" t="s">
        <v>161</v>
      </c>
      <c r="I1" s="524"/>
      <c r="J1" s="523" t="s">
        <v>66</v>
      </c>
      <c r="K1" s="525"/>
      <c r="L1" s="524"/>
      <c r="M1" s="521" t="s">
        <v>74</v>
      </c>
      <c r="N1" s="496" t="s">
        <v>75</v>
      </c>
      <c r="O1" s="520" t="s">
        <v>166</v>
      </c>
      <c r="P1" s="509" t="s">
        <v>107</v>
      </c>
    </row>
    <row r="2" spans="1:16" s="21" customFormat="1">
      <c r="A2" s="526"/>
      <c r="B2" s="528"/>
      <c r="C2" s="494"/>
      <c r="D2" s="494"/>
      <c r="E2" s="494"/>
      <c r="F2" s="496"/>
      <c r="G2" s="119" t="s">
        <v>76</v>
      </c>
      <c r="H2" s="119" t="s">
        <v>77</v>
      </c>
      <c r="I2" s="119" t="s">
        <v>159</v>
      </c>
      <c r="J2" s="119" t="s">
        <v>135</v>
      </c>
      <c r="K2" s="119" t="s">
        <v>130</v>
      </c>
      <c r="L2" s="119" t="s">
        <v>136</v>
      </c>
      <c r="M2" s="522"/>
      <c r="N2" s="496"/>
      <c r="O2" s="520"/>
      <c r="P2" s="510"/>
    </row>
    <row r="3" spans="1:16" s="134" customFormat="1">
      <c r="A3" s="155" t="s">
        <v>710</v>
      </c>
      <c r="B3" s="359">
        <v>45413</v>
      </c>
      <c r="C3" s="72" t="s">
        <v>873</v>
      </c>
      <c r="D3" s="204">
        <v>45413</v>
      </c>
      <c r="E3" s="204">
        <v>45414</v>
      </c>
      <c r="F3" s="130">
        <v>10500000</v>
      </c>
      <c r="G3" s="93">
        <f>F3-J3</f>
        <v>9500000</v>
      </c>
      <c r="H3" s="93"/>
      <c r="I3" s="93"/>
      <c r="J3" s="93">
        <v>1000000</v>
      </c>
      <c r="K3" s="93"/>
      <c r="L3" s="93"/>
      <c r="M3" s="130" t="s">
        <v>194</v>
      </c>
      <c r="N3" s="131" t="s">
        <v>1112</v>
      </c>
      <c r="O3" s="150" t="s">
        <v>1113</v>
      </c>
      <c r="P3" s="393"/>
    </row>
    <row r="4" spans="1:16" s="134" customFormat="1">
      <c r="A4" s="155" t="s">
        <v>711</v>
      </c>
      <c r="B4" s="359">
        <v>45414</v>
      </c>
      <c r="C4" s="72" t="s">
        <v>874</v>
      </c>
      <c r="D4" s="204">
        <v>45413</v>
      </c>
      <c r="E4" s="204">
        <v>45414</v>
      </c>
      <c r="F4" s="130">
        <v>4100000</v>
      </c>
      <c r="G4" s="93">
        <f>F4-J4</f>
        <v>3600000</v>
      </c>
      <c r="H4" s="93"/>
      <c r="I4" s="93"/>
      <c r="J4" s="93">
        <v>500000</v>
      </c>
      <c r="K4" s="93"/>
      <c r="L4" s="93"/>
      <c r="M4" s="130" t="s">
        <v>194</v>
      </c>
      <c r="N4" s="131" t="s">
        <v>1114</v>
      </c>
      <c r="O4" s="150" t="s">
        <v>1115</v>
      </c>
      <c r="P4" s="393"/>
    </row>
    <row r="5" spans="1:16" s="134" customFormat="1">
      <c r="A5" s="155" t="s">
        <v>712</v>
      </c>
      <c r="B5" s="359">
        <v>45413</v>
      </c>
      <c r="C5" s="72" t="s">
        <v>870</v>
      </c>
      <c r="D5" s="204">
        <v>45413</v>
      </c>
      <c r="E5" s="204">
        <v>45414</v>
      </c>
      <c r="F5" s="82">
        <v>2400000</v>
      </c>
      <c r="G5" s="82"/>
      <c r="H5" s="401">
        <f>F5-J5</f>
        <v>1400000</v>
      </c>
      <c r="I5" s="82"/>
      <c r="J5" s="82">
        <v>1000000</v>
      </c>
      <c r="K5" s="82"/>
      <c r="L5" s="82"/>
      <c r="M5" s="446" t="s">
        <v>194</v>
      </c>
      <c r="N5" s="82" t="s">
        <v>1116</v>
      </c>
      <c r="O5" s="150" t="s">
        <v>576</v>
      </c>
      <c r="P5" s="392"/>
    </row>
    <row r="6" spans="1:16" s="134" customFormat="1">
      <c r="A6" s="155" t="s">
        <v>713</v>
      </c>
      <c r="B6" s="359">
        <v>45416</v>
      </c>
      <c r="C6" s="72" t="s">
        <v>892</v>
      </c>
      <c r="D6" s="204">
        <v>45414</v>
      </c>
      <c r="E6" s="204">
        <v>45416</v>
      </c>
      <c r="F6" s="130">
        <v>39600000</v>
      </c>
      <c r="G6" s="154">
        <f>F6-J6-K6</f>
        <v>22880000</v>
      </c>
      <c r="H6" s="157"/>
      <c r="I6" s="93"/>
      <c r="J6" s="93">
        <v>2000000</v>
      </c>
      <c r="K6" s="157">
        <v>14720000</v>
      </c>
      <c r="L6" s="93"/>
      <c r="M6" s="130" t="s">
        <v>194</v>
      </c>
      <c r="N6" s="131" t="s">
        <v>1117</v>
      </c>
      <c r="O6" s="150" t="s">
        <v>1118</v>
      </c>
      <c r="P6" s="392"/>
    </row>
    <row r="7" spans="1:16" s="134" customFormat="1">
      <c r="A7" s="155" t="s">
        <v>714</v>
      </c>
      <c r="B7" s="359">
        <v>45416</v>
      </c>
      <c r="C7" s="72" t="s">
        <v>902</v>
      </c>
      <c r="D7" s="204">
        <v>45416</v>
      </c>
      <c r="E7" s="204">
        <v>45417</v>
      </c>
      <c r="F7" s="130">
        <v>20550000</v>
      </c>
      <c r="G7" s="93">
        <f>F7-H7-J7</f>
        <v>14500000</v>
      </c>
      <c r="H7" s="157">
        <v>5050000</v>
      </c>
      <c r="I7" s="93"/>
      <c r="J7" s="93">
        <v>1000000</v>
      </c>
      <c r="K7" s="93"/>
      <c r="L7" s="93"/>
      <c r="M7" s="130" t="s">
        <v>194</v>
      </c>
      <c r="N7" s="82" t="s">
        <v>1119</v>
      </c>
      <c r="O7" s="150" t="s">
        <v>1120</v>
      </c>
      <c r="P7" s="392"/>
    </row>
    <row r="8" spans="1:16" s="134" customFormat="1">
      <c r="A8" s="155" t="s">
        <v>715</v>
      </c>
      <c r="B8" s="359">
        <v>45417</v>
      </c>
      <c r="C8" s="72" t="s">
        <v>904</v>
      </c>
      <c r="D8" s="204">
        <v>45417</v>
      </c>
      <c r="E8" s="204">
        <v>45417</v>
      </c>
      <c r="F8" s="130">
        <v>4950000</v>
      </c>
      <c r="G8" s="93"/>
      <c r="H8" s="157">
        <f>F8-J8</f>
        <v>3950000</v>
      </c>
      <c r="I8" s="93"/>
      <c r="J8" s="93">
        <v>1000000</v>
      </c>
      <c r="K8" s="93"/>
      <c r="L8" s="93"/>
      <c r="M8" s="130" t="s">
        <v>615</v>
      </c>
      <c r="N8" s="82" t="s">
        <v>1121</v>
      </c>
      <c r="O8" s="150" t="s">
        <v>741</v>
      </c>
      <c r="P8" s="392"/>
    </row>
    <row r="9" spans="1:16" s="134" customFormat="1">
      <c r="A9" s="155" t="s">
        <v>716</v>
      </c>
      <c r="B9" s="359">
        <v>45419</v>
      </c>
      <c r="C9" s="72" t="s">
        <v>922</v>
      </c>
      <c r="D9" s="204">
        <v>45417</v>
      </c>
      <c r="E9" s="204">
        <v>45419</v>
      </c>
      <c r="F9" s="130">
        <v>24180000</v>
      </c>
      <c r="G9" s="93">
        <f>F9-J9</f>
        <v>23180000</v>
      </c>
      <c r="H9" s="93"/>
      <c r="I9" s="93"/>
      <c r="J9" s="93">
        <v>1000000</v>
      </c>
      <c r="K9" s="93"/>
      <c r="L9" s="93"/>
      <c r="M9" s="130" t="s">
        <v>194</v>
      </c>
      <c r="N9" s="82" t="s">
        <v>1122</v>
      </c>
      <c r="O9" s="150" t="s">
        <v>1123</v>
      </c>
      <c r="P9" s="392"/>
    </row>
    <row r="10" spans="1:16" s="134" customFormat="1">
      <c r="A10" s="155" t="s">
        <v>717</v>
      </c>
      <c r="B10" s="359">
        <v>45419</v>
      </c>
      <c r="C10" s="72" t="s">
        <v>921</v>
      </c>
      <c r="D10" s="204">
        <v>45418</v>
      </c>
      <c r="E10" s="204">
        <v>45420</v>
      </c>
      <c r="F10" s="130">
        <v>17600000</v>
      </c>
      <c r="G10" s="157"/>
      <c r="H10" s="157">
        <f>F10-J10</f>
        <v>7600000</v>
      </c>
      <c r="I10" s="93"/>
      <c r="J10" s="93">
        <v>10000000</v>
      </c>
      <c r="K10" s="93"/>
      <c r="L10" s="93"/>
      <c r="M10" s="130" t="s">
        <v>194</v>
      </c>
      <c r="N10" s="82" t="s">
        <v>1124</v>
      </c>
      <c r="O10" s="150" t="s">
        <v>575</v>
      </c>
      <c r="P10" s="393" t="s">
        <v>1125</v>
      </c>
    </row>
    <row r="11" spans="1:16" s="134" customFormat="1">
      <c r="A11" s="155" t="s">
        <v>718</v>
      </c>
      <c r="B11" s="359">
        <v>45419</v>
      </c>
      <c r="C11" s="72" t="s">
        <v>930</v>
      </c>
      <c r="D11" s="204">
        <v>45419</v>
      </c>
      <c r="E11" s="204">
        <v>45420</v>
      </c>
      <c r="F11" s="130">
        <v>4655000</v>
      </c>
      <c r="G11" s="93">
        <f t="shared" ref="G11:G17" si="0">F11-J11</f>
        <v>3655000</v>
      </c>
      <c r="H11" s="157"/>
      <c r="I11" s="93"/>
      <c r="J11" s="93">
        <v>1000000</v>
      </c>
      <c r="K11" s="93"/>
      <c r="L11" s="93"/>
      <c r="M11" s="130" t="s">
        <v>194</v>
      </c>
      <c r="N11" s="82" t="s">
        <v>1126</v>
      </c>
      <c r="O11" s="150" t="s">
        <v>1127</v>
      </c>
      <c r="P11" s="392"/>
    </row>
    <row r="12" spans="1:16" s="134" customFormat="1">
      <c r="A12" s="155" t="s">
        <v>719</v>
      </c>
      <c r="B12" s="359">
        <v>45419</v>
      </c>
      <c r="C12" s="72" t="s">
        <v>934</v>
      </c>
      <c r="D12" s="204">
        <v>45419</v>
      </c>
      <c r="E12" s="204">
        <v>45420</v>
      </c>
      <c r="F12" s="130">
        <v>21420000</v>
      </c>
      <c r="G12" s="93">
        <f t="shared" si="0"/>
        <v>20420000</v>
      </c>
      <c r="H12" s="157"/>
      <c r="I12" s="93"/>
      <c r="J12" s="93">
        <v>1000000</v>
      </c>
      <c r="K12" s="93"/>
      <c r="L12" s="93"/>
      <c r="M12" s="273" t="s">
        <v>194</v>
      </c>
      <c r="N12" s="131" t="s">
        <v>1128</v>
      </c>
      <c r="O12" s="150" t="s">
        <v>1129</v>
      </c>
      <c r="P12" s="138"/>
    </row>
    <row r="13" spans="1:16" s="134" customFormat="1">
      <c r="A13" s="155" t="s">
        <v>720</v>
      </c>
      <c r="B13" s="359">
        <v>45421</v>
      </c>
      <c r="C13" s="72" t="s">
        <v>965</v>
      </c>
      <c r="D13" s="204">
        <v>45420</v>
      </c>
      <c r="E13" s="204">
        <v>45422</v>
      </c>
      <c r="F13" s="57">
        <v>50880000</v>
      </c>
      <c r="G13" s="93">
        <f t="shared" si="0"/>
        <v>50380000</v>
      </c>
      <c r="H13" s="57"/>
      <c r="I13" s="57"/>
      <c r="J13" s="57">
        <v>500000</v>
      </c>
      <c r="K13" s="57"/>
      <c r="L13" s="57"/>
      <c r="M13" s="361" t="s">
        <v>194</v>
      </c>
      <c r="N13" s="362" t="s">
        <v>1130</v>
      </c>
      <c r="O13" s="150" t="s">
        <v>1131</v>
      </c>
      <c r="P13" s="138"/>
    </row>
    <row r="14" spans="1:16" s="134" customFormat="1">
      <c r="A14" s="155" t="s">
        <v>721</v>
      </c>
      <c r="B14" s="359">
        <v>45422</v>
      </c>
      <c r="C14" s="72" t="s">
        <v>981</v>
      </c>
      <c r="D14" s="204">
        <v>45422</v>
      </c>
      <c r="E14" s="204">
        <v>45423</v>
      </c>
      <c r="F14" s="130">
        <v>7035000</v>
      </c>
      <c r="G14" s="93">
        <f t="shared" si="0"/>
        <v>6535000</v>
      </c>
      <c r="H14" s="157"/>
      <c r="I14" s="93"/>
      <c r="J14" s="93">
        <v>500000</v>
      </c>
      <c r="K14" s="93"/>
      <c r="L14" s="93"/>
      <c r="M14" s="103" t="s">
        <v>194</v>
      </c>
      <c r="N14" s="132" t="s">
        <v>1132</v>
      </c>
      <c r="O14" s="150" t="s">
        <v>1133</v>
      </c>
      <c r="P14" s="360"/>
    </row>
    <row r="15" spans="1:16" s="134" customFormat="1">
      <c r="A15" s="155" t="s">
        <v>722</v>
      </c>
      <c r="B15" s="359">
        <v>45422</v>
      </c>
      <c r="C15" s="72" t="s">
        <v>984</v>
      </c>
      <c r="D15" s="204">
        <v>45422</v>
      </c>
      <c r="E15" s="204">
        <v>45423</v>
      </c>
      <c r="F15" s="130">
        <v>5665000</v>
      </c>
      <c r="G15" s="93">
        <f t="shared" si="0"/>
        <v>4665000</v>
      </c>
      <c r="H15" s="157"/>
      <c r="I15" s="93"/>
      <c r="J15" s="93">
        <v>1000000</v>
      </c>
      <c r="K15" s="59"/>
      <c r="L15" s="93"/>
      <c r="M15" s="103" t="s">
        <v>194</v>
      </c>
      <c r="N15" s="133" t="s">
        <v>1112</v>
      </c>
      <c r="O15" s="150" t="s">
        <v>1134</v>
      </c>
      <c r="P15" s="138"/>
    </row>
    <row r="16" spans="1:16" s="134" customFormat="1">
      <c r="A16" s="155" t="s">
        <v>723</v>
      </c>
      <c r="B16" s="363">
        <v>45423</v>
      </c>
      <c r="C16" s="72" t="s">
        <v>999</v>
      </c>
      <c r="D16" s="204">
        <v>45422</v>
      </c>
      <c r="E16" s="204">
        <v>45424</v>
      </c>
      <c r="F16" s="130">
        <v>6244000</v>
      </c>
      <c r="G16" s="93">
        <f t="shared" si="0"/>
        <v>4244000</v>
      </c>
      <c r="H16" s="93"/>
      <c r="I16" s="93"/>
      <c r="J16" s="93">
        <v>2000000</v>
      </c>
      <c r="K16" s="93"/>
      <c r="L16" s="93"/>
      <c r="M16" s="103" t="s">
        <v>194</v>
      </c>
      <c r="N16" s="133" t="s">
        <v>1135</v>
      </c>
      <c r="O16" s="150" t="s">
        <v>633</v>
      </c>
      <c r="P16" s="360"/>
    </row>
    <row r="17" spans="1:16" s="134" customFormat="1">
      <c r="A17" s="155" t="s">
        <v>724</v>
      </c>
      <c r="B17" s="363">
        <v>45425</v>
      </c>
      <c r="C17" s="287" t="s">
        <v>1136</v>
      </c>
      <c r="D17" s="204">
        <v>45423</v>
      </c>
      <c r="E17" s="204">
        <v>45424</v>
      </c>
      <c r="F17" s="130">
        <v>39290000</v>
      </c>
      <c r="G17" s="93">
        <f t="shared" si="0"/>
        <v>38290000</v>
      </c>
      <c r="H17" s="93"/>
      <c r="I17" s="93"/>
      <c r="J17" s="93">
        <v>1000000</v>
      </c>
      <c r="K17" s="93"/>
      <c r="L17" s="93"/>
      <c r="M17" s="103" t="s">
        <v>194</v>
      </c>
      <c r="N17" s="133" t="s">
        <v>1137</v>
      </c>
      <c r="O17" s="150" t="s">
        <v>1138</v>
      </c>
      <c r="P17" s="138"/>
    </row>
    <row r="18" spans="1:16" s="134" customFormat="1">
      <c r="A18" s="155" t="s">
        <v>725</v>
      </c>
      <c r="B18" s="363">
        <v>45426</v>
      </c>
      <c r="C18" s="72" t="s">
        <v>1017</v>
      </c>
      <c r="D18" s="204">
        <v>45425</v>
      </c>
      <c r="E18" s="204">
        <v>45426</v>
      </c>
      <c r="F18" s="130">
        <v>17385000</v>
      </c>
      <c r="G18" s="93">
        <f>F18</f>
        <v>17385000</v>
      </c>
      <c r="H18" s="93"/>
      <c r="I18" s="93"/>
      <c r="J18" s="93"/>
      <c r="K18" s="157"/>
      <c r="L18" s="93"/>
      <c r="M18" s="103" t="s">
        <v>194</v>
      </c>
      <c r="N18" s="133"/>
      <c r="O18" s="150"/>
      <c r="P18" s="138"/>
    </row>
    <row r="19" spans="1:16" s="134" customFormat="1">
      <c r="A19" s="155" t="s">
        <v>726</v>
      </c>
      <c r="B19" s="363">
        <v>45427</v>
      </c>
      <c r="C19" s="72" t="s">
        <v>1025</v>
      </c>
      <c r="D19" s="204">
        <v>45425</v>
      </c>
      <c r="E19" s="204">
        <v>45426</v>
      </c>
      <c r="F19" s="130">
        <v>3000000</v>
      </c>
      <c r="G19" s="93">
        <f>F19-J19</f>
        <v>2150000</v>
      </c>
      <c r="H19" s="157"/>
      <c r="I19" s="93"/>
      <c r="J19" s="93">
        <v>850000</v>
      </c>
      <c r="K19" s="93"/>
      <c r="L19" s="93"/>
      <c r="M19" s="103" t="s">
        <v>194</v>
      </c>
      <c r="N19" s="133" t="s">
        <v>1139</v>
      </c>
      <c r="O19" s="150" t="s">
        <v>1140</v>
      </c>
      <c r="P19" s="360"/>
    </row>
    <row r="20" spans="1:16" s="134" customFormat="1">
      <c r="A20" s="155" t="s">
        <v>727</v>
      </c>
      <c r="B20" s="363">
        <v>45427</v>
      </c>
      <c r="C20" s="72" t="s">
        <v>1026</v>
      </c>
      <c r="D20" s="204">
        <v>45425</v>
      </c>
      <c r="E20" s="204">
        <v>45426</v>
      </c>
      <c r="F20" s="130">
        <v>14400000</v>
      </c>
      <c r="G20" s="93">
        <f>F20-J20</f>
        <v>14100000</v>
      </c>
      <c r="H20" s="93"/>
      <c r="I20" s="93"/>
      <c r="J20" s="93">
        <v>300000</v>
      </c>
      <c r="K20" s="93"/>
      <c r="L20" s="93"/>
      <c r="M20" s="103" t="s">
        <v>194</v>
      </c>
      <c r="N20" s="135" t="s">
        <v>1141</v>
      </c>
      <c r="O20" s="150" t="s">
        <v>1142</v>
      </c>
      <c r="P20" s="138"/>
    </row>
    <row r="21" spans="1:16" s="134" customFormat="1">
      <c r="A21" s="155" t="s">
        <v>728</v>
      </c>
      <c r="B21" s="363">
        <v>45427</v>
      </c>
      <c r="C21" s="72" t="s">
        <v>1027</v>
      </c>
      <c r="D21" s="204">
        <v>45425</v>
      </c>
      <c r="E21" s="204">
        <v>45426</v>
      </c>
      <c r="F21" s="130">
        <v>130000</v>
      </c>
      <c r="G21" s="93">
        <f>F21</f>
        <v>130000</v>
      </c>
      <c r="H21" s="157"/>
      <c r="I21" s="93"/>
      <c r="J21" s="93"/>
      <c r="L21" s="93"/>
      <c r="M21" s="103" t="s">
        <v>194</v>
      </c>
      <c r="N21" s="135" t="s">
        <v>1143</v>
      </c>
      <c r="O21" s="150"/>
      <c r="P21" s="138"/>
    </row>
    <row r="22" spans="1:16" s="134" customFormat="1">
      <c r="A22" s="155" t="s">
        <v>729</v>
      </c>
      <c r="B22" s="363">
        <v>45427</v>
      </c>
      <c r="C22" s="72" t="s">
        <v>1038</v>
      </c>
      <c r="D22" s="204">
        <v>45427</v>
      </c>
      <c r="E22" s="204">
        <v>45428</v>
      </c>
      <c r="F22" s="130">
        <v>26220000</v>
      </c>
      <c r="G22" s="93">
        <f>F22-J22</f>
        <v>21220000</v>
      </c>
      <c r="H22" s="157"/>
      <c r="I22" s="93"/>
      <c r="J22" s="93">
        <v>5000000</v>
      </c>
      <c r="K22" s="93"/>
      <c r="L22" s="93"/>
      <c r="M22" s="103" t="s">
        <v>194</v>
      </c>
      <c r="N22" s="135" t="s">
        <v>1144</v>
      </c>
      <c r="O22" s="150" t="s">
        <v>1145</v>
      </c>
      <c r="P22" s="138"/>
    </row>
    <row r="23" spans="1:16" s="134" customFormat="1">
      <c r="A23" s="155" t="s">
        <v>730</v>
      </c>
      <c r="B23" s="363">
        <v>45428</v>
      </c>
      <c r="C23" s="72" t="s">
        <v>1053</v>
      </c>
      <c r="D23" s="204">
        <v>45428</v>
      </c>
      <c r="E23" s="204">
        <v>45429</v>
      </c>
      <c r="F23" s="130">
        <v>6600000</v>
      </c>
      <c r="G23" s="93">
        <f>F23-J23</f>
        <v>5600000</v>
      </c>
      <c r="H23" s="93"/>
      <c r="I23" s="93"/>
      <c r="J23" s="93">
        <v>1000000</v>
      </c>
      <c r="K23" s="93"/>
      <c r="L23" s="93"/>
      <c r="M23" s="103" t="s">
        <v>1146</v>
      </c>
      <c r="N23" s="135" t="s">
        <v>1147</v>
      </c>
      <c r="O23" s="150" t="s">
        <v>1148</v>
      </c>
      <c r="P23" s="360"/>
    </row>
    <row r="24" spans="1:16" s="134" customFormat="1">
      <c r="A24" s="155" t="s">
        <v>731</v>
      </c>
      <c r="B24" s="363">
        <v>45428</v>
      </c>
      <c r="C24" s="72" t="s">
        <v>1050</v>
      </c>
      <c r="D24" s="204">
        <v>45428</v>
      </c>
      <c r="E24" s="204">
        <v>45429</v>
      </c>
      <c r="F24" s="130">
        <v>5900000</v>
      </c>
      <c r="G24" s="93">
        <f>F24-J24</f>
        <v>4900000</v>
      </c>
      <c r="H24" s="93"/>
      <c r="I24" s="93"/>
      <c r="J24" s="93">
        <v>1000000</v>
      </c>
      <c r="K24" s="93"/>
      <c r="L24" s="93"/>
      <c r="M24" s="103" t="s">
        <v>194</v>
      </c>
      <c r="N24" s="135" t="s">
        <v>1149</v>
      </c>
      <c r="O24" s="150" t="s">
        <v>787</v>
      </c>
      <c r="P24" s="360"/>
    </row>
    <row r="25" spans="1:16" s="394" customFormat="1">
      <c r="A25" s="155" t="s">
        <v>732</v>
      </c>
      <c r="B25" s="363">
        <v>45428</v>
      </c>
      <c r="C25" s="72" t="s">
        <v>1044</v>
      </c>
      <c r="D25" s="204">
        <v>45428</v>
      </c>
      <c r="E25" s="204">
        <v>45428</v>
      </c>
      <c r="F25" s="130">
        <v>7950000</v>
      </c>
      <c r="G25" s="93">
        <f>F25-J25</f>
        <v>6950000</v>
      </c>
      <c r="H25" s="157"/>
      <c r="I25" s="93"/>
      <c r="J25" s="93">
        <v>1000000</v>
      </c>
      <c r="K25" s="93"/>
      <c r="L25" s="93"/>
      <c r="M25" s="103" t="s">
        <v>615</v>
      </c>
      <c r="N25" s="135" t="s">
        <v>1150</v>
      </c>
      <c r="O25" s="150" t="s">
        <v>765</v>
      </c>
      <c r="P25" s="360"/>
    </row>
    <row r="26" spans="1:16" s="134" customFormat="1">
      <c r="A26" s="155" t="s">
        <v>733</v>
      </c>
      <c r="B26" s="363">
        <v>45428</v>
      </c>
      <c r="C26" s="72" t="s">
        <v>1047</v>
      </c>
      <c r="D26" s="204">
        <v>45429</v>
      </c>
      <c r="E26" s="204">
        <v>45429</v>
      </c>
      <c r="F26" s="130">
        <v>8380000</v>
      </c>
      <c r="G26" s="93">
        <f>F26</f>
        <v>8380000</v>
      </c>
      <c r="H26" s="93"/>
      <c r="I26" s="93"/>
      <c r="J26" s="93"/>
      <c r="K26" s="93"/>
      <c r="L26" s="93"/>
      <c r="M26" s="103" t="s">
        <v>615</v>
      </c>
      <c r="N26" s="135"/>
      <c r="O26" s="150"/>
      <c r="P26" s="360"/>
    </row>
    <row r="27" spans="1:16" s="134" customFormat="1">
      <c r="A27" s="155" t="s">
        <v>734</v>
      </c>
      <c r="B27" s="363">
        <v>45429</v>
      </c>
      <c r="C27" s="72" t="s">
        <v>1067</v>
      </c>
      <c r="D27" s="204">
        <v>45429</v>
      </c>
      <c r="E27" s="204">
        <v>45430</v>
      </c>
      <c r="F27" s="130">
        <v>11025000</v>
      </c>
      <c r="G27" s="93">
        <f>F27-J27</f>
        <v>10025000</v>
      </c>
      <c r="H27" s="93"/>
      <c r="I27" s="93"/>
      <c r="J27" s="93">
        <v>1000000</v>
      </c>
      <c r="K27" s="93"/>
      <c r="L27" s="93"/>
      <c r="M27" s="103" t="s">
        <v>194</v>
      </c>
      <c r="N27" s="135" t="s">
        <v>1151</v>
      </c>
      <c r="O27" s="150" t="s">
        <v>635</v>
      </c>
      <c r="P27" s="360"/>
    </row>
    <row r="28" spans="1:16" s="134" customFormat="1">
      <c r="A28" s="155" t="s">
        <v>735</v>
      </c>
      <c r="B28" s="359">
        <v>45431</v>
      </c>
      <c r="C28" s="72" t="s">
        <v>1086</v>
      </c>
      <c r="D28" s="204">
        <v>45429</v>
      </c>
      <c r="E28" s="204">
        <v>45430</v>
      </c>
      <c r="F28" s="130">
        <v>24225000</v>
      </c>
      <c r="G28" s="93">
        <f>F28-J28</f>
        <v>23225000</v>
      </c>
      <c r="H28" s="93"/>
      <c r="I28" s="93"/>
      <c r="J28" s="93">
        <v>1000000</v>
      </c>
      <c r="K28" s="93"/>
      <c r="L28" s="93"/>
      <c r="M28" s="103" t="s">
        <v>194</v>
      </c>
      <c r="N28" s="135" t="s">
        <v>1152</v>
      </c>
      <c r="O28" s="150" t="s">
        <v>634</v>
      </c>
      <c r="P28" s="360"/>
    </row>
    <row r="29" spans="1:16" s="134" customFormat="1">
      <c r="A29" s="155" t="s">
        <v>1163</v>
      </c>
      <c r="B29" s="363">
        <v>45429</v>
      </c>
      <c r="C29" s="72" t="s">
        <v>1059</v>
      </c>
      <c r="D29" s="204">
        <v>45430</v>
      </c>
      <c r="E29" s="204">
        <v>45430</v>
      </c>
      <c r="F29" s="130">
        <v>8390000</v>
      </c>
      <c r="G29" s="93">
        <f>F29</f>
        <v>8390000</v>
      </c>
      <c r="H29" s="93"/>
      <c r="I29" s="93"/>
      <c r="J29" s="93"/>
      <c r="K29" s="93"/>
      <c r="L29" s="93"/>
      <c r="M29" s="103" t="s">
        <v>615</v>
      </c>
      <c r="N29" s="135"/>
      <c r="O29" s="150"/>
      <c r="P29" s="360"/>
    </row>
    <row r="30" spans="1:16" s="134" customFormat="1">
      <c r="A30" s="155" t="s">
        <v>1164</v>
      </c>
      <c r="B30" s="359">
        <v>45431</v>
      </c>
      <c r="C30" s="72" t="s">
        <v>1075</v>
      </c>
      <c r="D30" s="204">
        <v>45430</v>
      </c>
      <c r="E30" s="204">
        <v>45431</v>
      </c>
      <c r="F30" s="130">
        <v>1140000</v>
      </c>
      <c r="G30" s="93">
        <f>F30</f>
        <v>1140000</v>
      </c>
      <c r="H30" s="93"/>
      <c r="I30" s="93"/>
      <c r="J30" s="93"/>
      <c r="K30" s="93"/>
      <c r="L30" s="93"/>
      <c r="M30" s="103" t="s">
        <v>194</v>
      </c>
      <c r="N30" s="135"/>
      <c r="O30" s="150"/>
      <c r="P30" s="360"/>
    </row>
    <row r="31" spans="1:16" s="134" customFormat="1">
      <c r="A31" s="155" t="s">
        <v>1165</v>
      </c>
      <c r="B31" s="359">
        <v>45430</v>
      </c>
      <c r="C31" s="72" t="s">
        <v>1090</v>
      </c>
      <c r="D31" s="204">
        <v>45431</v>
      </c>
      <c r="E31" s="204">
        <v>45432</v>
      </c>
      <c r="F31" s="130">
        <v>2080000</v>
      </c>
      <c r="G31" s="93">
        <f>F31-J31</f>
        <v>1580000</v>
      </c>
      <c r="H31" s="93"/>
      <c r="I31" s="93"/>
      <c r="J31" s="93">
        <v>500000</v>
      </c>
      <c r="K31" s="93"/>
      <c r="L31" s="93"/>
      <c r="M31" s="103" t="s">
        <v>194</v>
      </c>
      <c r="N31" s="135" t="s">
        <v>1153</v>
      </c>
      <c r="O31" s="150" t="s">
        <v>1154</v>
      </c>
      <c r="P31" s="360"/>
    </row>
    <row r="32" spans="1:16" s="134" customFormat="1">
      <c r="A32" s="155" t="s">
        <v>1166</v>
      </c>
      <c r="B32" s="359">
        <v>45431</v>
      </c>
      <c r="C32" s="72" t="s">
        <v>1094</v>
      </c>
      <c r="D32" s="204">
        <v>45431</v>
      </c>
      <c r="E32" s="204">
        <v>45432</v>
      </c>
      <c r="F32" s="130">
        <v>7360000</v>
      </c>
      <c r="G32" s="93">
        <f>F32-J32</f>
        <v>6360000</v>
      </c>
      <c r="H32" s="93"/>
      <c r="I32" s="93"/>
      <c r="J32" s="93">
        <v>1000000</v>
      </c>
      <c r="K32" s="93"/>
      <c r="L32" s="93"/>
      <c r="M32" s="103" t="s">
        <v>236</v>
      </c>
      <c r="N32" s="135" t="s">
        <v>1155</v>
      </c>
      <c r="O32" s="150" t="s">
        <v>1156</v>
      </c>
      <c r="P32" s="360"/>
    </row>
    <row r="33" spans="1:16" s="394" customFormat="1">
      <c r="A33" s="461" t="s">
        <v>1167</v>
      </c>
      <c r="B33" s="359">
        <v>45433</v>
      </c>
      <c r="C33" s="456" t="s">
        <v>1226</v>
      </c>
      <c r="D33" s="204">
        <v>45432</v>
      </c>
      <c r="E33" s="204">
        <v>45434</v>
      </c>
      <c r="F33" s="130">
        <v>29250000</v>
      </c>
      <c r="G33" s="93">
        <f>F33-J33</f>
        <v>27250000</v>
      </c>
      <c r="H33" s="93"/>
      <c r="I33" s="93"/>
      <c r="J33" s="93">
        <v>2000000</v>
      </c>
      <c r="K33" s="93"/>
      <c r="L33" s="93"/>
      <c r="M33" s="103" t="s">
        <v>194</v>
      </c>
      <c r="N33" s="135" t="s">
        <v>1347</v>
      </c>
      <c r="O33" s="150" t="s">
        <v>1348</v>
      </c>
      <c r="P33" s="360"/>
    </row>
    <row r="34" spans="1:16" s="134" customFormat="1">
      <c r="A34" s="155" t="s">
        <v>1168</v>
      </c>
      <c r="B34" s="359">
        <v>45432</v>
      </c>
      <c r="C34" s="72" t="s">
        <v>1105</v>
      </c>
      <c r="D34" s="204">
        <v>45432</v>
      </c>
      <c r="E34" s="204">
        <v>45433</v>
      </c>
      <c r="F34" s="130">
        <v>4320000</v>
      </c>
      <c r="G34" s="93">
        <f>F34-J34</f>
        <v>3320000</v>
      </c>
      <c r="H34" s="93"/>
      <c r="I34" s="93"/>
      <c r="J34" s="93">
        <v>1000000</v>
      </c>
      <c r="K34" s="93"/>
      <c r="L34" s="93"/>
      <c r="M34" s="103" t="s">
        <v>194</v>
      </c>
      <c r="N34" s="135" t="s">
        <v>1157</v>
      </c>
      <c r="O34" s="150" t="s">
        <v>742</v>
      </c>
      <c r="P34" s="360"/>
    </row>
    <row r="35" spans="1:16" s="134" customFormat="1">
      <c r="A35" s="155" t="s">
        <v>1169</v>
      </c>
      <c r="B35" s="359">
        <v>45432</v>
      </c>
      <c r="C35" s="72" t="s">
        <v>1101</v>
      </c>
      <c r="D35" s="204">
        <v>45434</v>
      </c>
      <c r="E35" s="204">
        <v>45435</v>
      </c>
      <c r="F35" s="130">
        <v>3760000</v>
      </c>
      <c r="G35" s="93"/>
      <c r="H35" s="157">
        <f>F35-J35</f>
        <v>2760000</v>
      </c>
      <c r="I35" s="93"/>
      <c r="J35" s="93">
        <v>1000000</v>
      </c>
      <c r="K35" s="93"/>
      <c r="L35" s="93"/>
      <c r="M35" s="103" t="s">
        <v>194</v>
      </c>
      <c r="N35" s="135" t="s">
        <v>1158</v>
      </c>
      <c r="O35" s="150" t="s">
        <v>1159</v>
      </c>
      <c r="P35" s="360" t="s">
        <v>1160</v>
      </c>
    </row>
    <row r="36" spans="1:16" s="134" customFormat="1">
      <c r="A36" s="155" t="s">
        <v>1170</v>
      </c>
      <c r="B36" s="359">
        <v>45432</v>
      </c>
      <c r="C36" s="72" t="s">
        <v>1103</v>
      </c>
      <c r="D36" s="204">
        <v>45434</v>
      </c>
      <c r="E36" s="204">
        <v>45435</v>
      </c>
      <c r="F36" s="130">
        <v>4400000</v>
      </c>
      <c r="G36" s="93"/>
      <c r="H36" s="157">
        <f>F36-J36</f>
        <v>2400000</v>
      </c>
      <c r="I36" s="93"/>
      <c r="J36" s="93">
        <v>2000000</v>
      </c>
      <c r="K36" s="93"/>
      <c r="L36" s="93"/>
      <c r="M36" s="103" t="s">
        <v>194</v>
      </c>
      <c r="N36" s="135" t="s">
        <v>1161</v>
      </c>
      <c r="O36" s="150" t="s">
        <v>777</v>
      </c>
      <c r="P36" s="360" t="s">
        <v>1162</v>
      </c>
    </row>
    <row r="37" spans="1:16" s="394" customFormat="1">
      <c r="A37" s="461" t="s">
        <v>1171</v>
      </c>
      <c r="B37" s="359">
        <v>45433</v>
      </c>
      <c r="C37" s="456" t="s">
        <v>1222</v>
      </c>
      <c r="D37" s="204">
        <v>45433</v>
      </c>
      <c r="E37" s="204">
        <v>45433</v>
      </c>
      <c r="F37" s="130">
        <v>840000</v>
      </c>
      <c r="G37" s="93"/>
      <c r="H37" s="157">
        <f>F37-J37</f>
        <v>340000</v>
      </c>
      <c r="I37" s="93"/>
      <c r="J37" s="93">
        <v>500000</v>
      </c>
      <c r="K37" s="93"/>
      <c r="L37" s="93"/>
      <c r="M37" s="103" t="s">
        <v>1349</v>
      </c>
      <c r="N37" s="135" t="s">
        <v>1350</v>
      </c>
      <c r="O37" s="150" t="s">
        <v>819</v>
      </c>
      <c r="P37" s="360"/>
    </row>
    <row r="38" spans="1:16" s="394" customFormat="1">
      <c r="A38" s="461" t="s">
        <v>1172</v>
      </c>
      <c r="B38" s="359">
        <v>45435</v>
      </c>
      <c r="C38" s="72" t="s">
        <v>1237</v>
      </c>
      <c r="D38" s="204">
        <v>45433</v>
      </c>
      <c r="E38" s="204">
        <v>45435</v>
      </c>
      <c r="F38" s="130">
        <v>26814000</v>
      </c>
      <c r="G38" s="93">
        <f>F38-J38</f>
        <v>25814000</v>
      </c>
      <c r="H38" s="93"/>
      <c r="I38" s="93"/>
      <c r="J38" s="93">
        <v>1000000</v>
      </c>
      <c r="K38" s="93"/>
      <c r="L38" s="93"/>
      <c r="M38" s="103" t="s">
        <v>194</v>
      </c>
      <c r="N38" s="135" t="s">
        <v>1351</v>
      </c>
      <c r="O38" s="150" t="s">
        <v>762</v>
      </c>
      <c r="P38" s="360"/>
    </row>
    <row r="39" spans="1:16" s="394" customFormat="1">
      <c r="A39" s="461" t="s">
        <v>1173</v>
      </c>
      <c r="B39" s="359">
        <v>45434</v>
      </c>
      <c r="C39" s="72" t="s">
        <v>1236</v>
      </c>
      <c r="D39" s="204">
        <v>45434</v>
      </c>
      <c r="E39" s="204">
        <v>45434</v>
      </c>
      <c r="F39" s="130">
        <v>2960000</v>
      </c>
      <c r="G39" s="93">
        <f>F39</f>
        <v>2960000</v>
      </c>
      <c r="H39" s="93"/>
      <c r="I39" s="93"/>
      <c r="J39" s="93"/>
      <c r="K39" s="93"/>
      <c r="L39" s="93"/>
      <c r="M39" s="103" t="s">
        <v>194</v>
      </c>
      <c r="N39" s="135"/>
      <c r="O39" s="150"/>
      <c r="P39" s="360"/>
    </row>
    <row r="40" spans="1:16" s="394" customFormat="1">
      <c r="A40" s="461" t="s">
        <v>1174</v>
      </c>
      <c r="B40" s="359">
        <v>45437</v>
      </c>
      <c r="C40" s="72" t="s">
        <v>1257</v>
      </c>
      <c r="D40" s="204">
        <v>45435</v>
      </c>
      <c r="E40" s="204">
        <v>45437</v>
      </c>
      <c r="F40" s="130">
        <v>45825000</v>
      </c>
      <c r="G40" s="93">
        <v>6063000</v>
      </c>
      <c r="H40" s="157">
        <f>F40-G40-J40</f>
        <v>38762000</v>
      </c>
      <c r="I40" s="93"/>
      <c r="J40" s="93">
        <v>1000000</v>
      </c>
      <c r="K40" s="93"/>
      <c r="L40" s="93"/>
      <c r="M40" s="103" t="s">
        <v>194</v>
      </c>
      <c r="N40" s="135" t="s">
        <v>1352</v>
      </c>
      <c r="O40" s="150"/>
      <c r="P40" s="360"/>
    </row>
    <row r="41" spans="1:16" s="134" customFormat="1">
      <c r="A41" s="155" t="s">
        <v>1175</v>
      </c>
      <c r="B41" s="359">
        <v>45438</v>
      </c>
      <c r="C41" s="72" t="s">
        <v>1273</v>
      </c>
      <c r="D41" s="204">
        <v>45437</v>
      </c>
      <c r="E41" s="204">
        <v>45438</v>
      </c>
      <c r="F41" s="130">
        <v>7680000</v>
      </c>
      <c r="G41" s="93">
        <v>680000</v>
      </c>
      <c r="H41" s="157">
        <f>F41-J41-G41</f>
        <v>6000000</v>
      </c>
      <c r="I41" s="93"/>
      <c r="J41" s="93">
        <v>1000000</v>
      </c>
      <c r="K41" s="93"/>
      <c r="L41" s="93"/>
      <c r="M41" s="273" t="s">
        <v>194</v>
      </c>
      <c r="N41" s="131" t="s">
        <v>1353</v>
      </c>
      <c r="O41" s="150" t="s">
        <v>1354</v>
      </c>
      <c r="P41" s="138" t="s">
        <v>1355</v>
      </c>
    </row>
    <row r="42" spans="1:16" s="394" customFormat="1">
      <c r="A42" s="155" t="s">
        <v>1176</v>
      </c>
      <c r="B42" s="359">
        <v>45438</v>
      </c>
      <c r="C42" s="72" t="s">
        <v>1274</v>
      </c>
      <c r="D42" s="204">
        <v>45437</v>
      </c>
      <c r="E42" s="204">
        <v>45438</v>
      </c>
      <c r="F42" s="57">
        <v>14000000</v>
      </c>
      <c r="G42" s="57">
        <f>F42-J42-K42</f>
        <v>11000000</v>
      </c>
      <c r="H42" s="462"/>
      <c r="I42" s="360"/>
      <c r="J42" s="57">
        <v>1000000</v>
      </c>
      <c r="K42" s="57">
        <v>2000000</v>
      </c>
      <c r="L42" s="360"/>
      <c r="M42" s="463" t="s">
        <v>194</v>
      </c>
      <c r="N42" s="360" t="s">
        <v>1356</v>
      </c>
      <c r="O42" s="464" t="s">
        <v>1357</v>
      </c>
    </row>
    <row r="43" spans="1:16" s="134" customFormat="1">
      <c r="A43" s="155" t="s">
        <v>1177</v>
      </c>
      <c r="B43" s="359">
        <v>45438</v>
      </c>
      <c r="C43" s="72" t="s">
        <v>1276</v>
      </c>
      <c r="D43" s="204">
        <v>45437</v>
      </c>
      <c r="E43" s="204">
        <v>45438</v>
      </c>
      <c r="F43" s="130">
        <v>8200000</v>
      </c>
      <c r="G43" s="93"/>
      <c r="H43" s="157">
        <f>F43-J43</f>
        <v>7200000</v>
      </c>
      <c r="I43" s="93"/>
      <c r="J43" s="93">
        <v>1000000</v>
      </c>
      <c r="K43" s="93"/>
      <c r="L43" s="93"/>
      <c r="M43" s="130" t="s">
        <v>194</v>
      </c>
      <c r="N43" s="131" t="s">
        <v>1358</v>
      </c>
      <c r="O43" s="150" t="s">
        <v>1359</v>
      </c>
      <c r="P43" s="393"/>
    </row>
    <row r="44" spans="1:16" s="134" customFormat="1">
      <c r="A44" s="155" t="s">
        <v>1178</v>
      </c>
      <c r="B44" s="359">
        <v>45438</v>
      </c>
      <c r="C44" s="72" t="s">
        <v>1275</v>
      </c>
      <c r="D44" s="204">
        <v>45437</v>
      </c>
      <c r="E44" s="204">
        <v>45438</v>
      </c>
      <c r="F44" s="130">
        <v>2240000</v>
      </c>
      <c r="G44" s="93">
        <f>F44-J44-K44</f>
        <v>1240000</v>
      </c>
      <c r="H44" s="93"/>
      <c r="I44" s="93"/>
      <c r="J44" s="93">
        <v>500000</v>
      </c>
      <c r="K44" s="93">
        <v>500000</v>
      </c>
      <c r="L44" s="93"/>
      <c r="M44" s="130" t="s">
        <v>194</v>
      </c>
      <c r="N44" s="131" t="s">
        <v>1360</v>
      </c>
      <c r="O44" s="150" t="s">
        <v>1361</v>
      </c>
      <c r="P44" s="392"/>
    </row>
    <row r="45" spans="1:16" s="394" customFormat="1">
      <c r="A45" s="155" t="s">
        <v>1179</v>
      </c>
      <c r="B45" s="359">
        <v>45438</v>
      </c>
      <c r="C45" s="72" t="s">
        <v>1281</v>
      </c>
      <c r="D45" s="204">
        <v>45438</v>
      </c>
      <c r="E45" s="204">
        <v>45439</v>
      </c>
      <c r="F45" s="130">
        <v>6800000</v>
      </c>
      <c r="G45" s="93">
        <f>F45-J45</f>
        <v>5300000</v>
      </c>
      <c r="H45" s="93"/>
      <c r="I45" s="93"/>
      <c r="J45" s="93">
        <v>1500000</v>
      </c>
      <c r="K45" s="93"/>
      <c r="L45" s="93"/>
      <c r="M45" s="130" t="s">
        <v>194</v>
      </c>
      <c r="N45" s="131" t="s">
        <v>1362</v>
      </c>
      <c r="O45" s="150" t="s">
        <v>1363</v>
      </c>
      <c r="P45" s="393"/>
    </row>
    <row r="46" spans="1:16" s="394" customFormat="1">
      <c r="A46" s="155" t="s">
        <v>1180</v>
      </c>
      <c r="B46" s="359">
        <v>45438</v>
      </c>
      <c r="C46" s="72" t="s">
        <v>1283</v>
      </c>
      <c r="D46" s="204">
        <v>45438</v>
      </c>
      <c r="E46" s="204">
        <v>45439</v>
      </c>
      <c r="F46" s="130">
        <v>15975000</v>
      </c>
      <c r="G46" s="93">
        <f>F46</f>
        <v>15975000</v>
      </c>
      <c r="H46" s="93"/>
      <c r="I46" s="93"/>
      <c r="J46" s="93"/>
      <c r="K46" s="93"/>
      <c r="L46" s="93"/>
      <c r="M46" s="130"/>
      <c r="N46" s="131"/>
      <c r="O46" s="150"/>
      <c r="P46" s="393"/>
    </row>
    <row r="47" spans="1:16" s="134" customFormat="1">
      <c r="A47" s="155" t="s">
        <v>1181</v>
      </c>
      <c r="B47" s="359">
        <v>45440</v>
      </c>
      <c r="C47" s="457" t="s">
        <v>1301</v>
      </c>
      <c r="D47" s="204">
        <v>45439</v>
      </c>
      <c r="E47" s="204">
        <v>45441</v>
      </c>
      <c r="F47" s="82">
        <v>21696000</v>
      </c>
      <c r="G47" s="82">
        <f>F47-J47-H47</f>
        <v>6991000</v>
      </c>
      <c r="H47" s="401">
        <v>12705000</v>
      </c>
      <c r="I47" s="82"/>
      <c r="J47" s="82">
        <v>2000000</v>
      </c>
      <c r="K47" s="82"/>
      <c r="L47" s="82"/>
      <c r="M47" s="446" t="s">
        <v>194</v>
      </c>
      <c r="N47" s="82" t="s">
        <v>1364</v>
      </c>
      <c r="O47" s="150" t="s">
        <v>1365</v>
      </c>
      <c r="P47" s="392"/>
    </row>
    <row r="48" spans="1:16" s="134" customFormat="1">
      <c r="A48" s="155" t="s">
        <v>1182</v>
      </c>
      <c r="B48" s="359">
        <v>45441</v>
      </c>
      <c r="C48" s="72" t="s">
        <v>1303</v>
      </c>
      <c r="D48" s="204">
        <v>45439</v>
      </c>
      <c r="E48" s="204">
        <v>45441</v>
      </c>
      <c r="F48" s="130">
        <v>14130000</v>
      </c>
      <c r="G48" s="154">
        <f>F48-J48</f>
        <v>13130000</v>
      </c>
      <c r="H48" s="157"/>
      <c r="I48" s="93"/>
      <c r="J48" s="93">
        <v>1000000</v>
      </c>
      <c r="K48" s="157"/>
      <c r="L48" s="93"/>
      <c r="M48" s="130" t="s">
        <v>194</v>
      </c>
      <c r="N48" s="131" t="s">
        <v>1366</v>
      </c>
      <c r="O48" s="150" t="s">
        <v>1367</v>
      </c>
      <c r="P48" s="392"/>
    </row>
    <row r="49" spans="1:16" s="134" customFormat="1">
      <c r="A49" s="155" t="s">
        <v>1183</v>
      </c>
      <c r="B49" s="359">
        <v>45441</v>
      </c>
      <c r="C49" s="72" t="s">
        <v>1317</v>
      </c>
      <c r="D49" s="204">
        <v>45441</v>
      </c>
      <c r="E49" s="204">
        <v>45442</v>
      </c>
      <c r="F49" s="130">
        <v>8160000</v>
      </c>
      <c r="G49" s="93">
        <f>F49-J49</f>
        <v>6660000</v>
      </c>
      <c r="H49" s="157"/>
      <c r="I49" s="93"/>
      <c r="J49" s="93">
        <v>1500000</v>
      </c>
      <c r="K49" s="93"/>
      <c r="L49" s="93"/>
      <c r="M49" s="130" t="s">
        <v>194</v>
      </c>
      <c r="N49" s="82" t="s">
        <v>1368</v>
      </c>
      <c r="O49" s="150" t="s">
        <v>737</v>
      </c>
      <c r="P49" s="392"/>
    </row>
    <row r="50" spans="1:16" s="134" customFormat="1">
      <c r="A50" s="155" t="s">
        <v>1184</v>
      </c>
      <c r="B50" s="359">
        <v>45441</v>
      </c>
      <c r="C50" s="72" t="s">
        <v>1316</v>
      </c>
      <c r="D50" s="204">
        <v>45441</v>
      </c>
      <c r="E50" s="204">
        <v>45442</v>
      </c>
      <c r="F50" s="130">
        <v>10700000</v>
      </c>
      <c r="G50" s="93">
        <f>F50-J50</f>
        <v>9700000</v>
      </c>
      <c r="H50" s="157"/>
      <c r="I50" s="93"/>
      <c r="J50" s="93">
        <v>1000000</v>
      </c>
      <c r="K50" s="93"/>
      <c r="L50" s="93"/>
      <c r="M50" s="130" t="s">
        <v>194</v>
      </c>
      <c r="N50" s="82" t="s">
        <v>1369</v>
      </c>
      <c r="O50" s="150" t="s">
        <v>1370</v>
      </c>
      <c r="P50" s="392"/>
    </row>
    <row r="51" spans="1:16" s="134" customFormat="1">
      <c r="A51" s="155" t="s">
        <v>1185</v>
      </c>
      <c r="B51" s="359">
        <v>45442</v>
      </c>
      <c r="C51" s="458" t="s">
        <v>1318</v>
      </c>
      <c r="D51" s="204">
        <v>45441</v>
      </c>
      <c r="E51" s="204">
        <v>45442</v>
      </c>
      <c r="F51" s="130">
        <v>3840000</v>
      </c>
      <c r="G51" s="93"/>
      <c r="H51" s="157">
        <f>F51-J51</f>
        <v>2840000</v>
      </c>
      <c r="I51" s="93"/>
      <c r="J51" s="93">
        <v>1000000</v>
      </c>
      <c r="K51" s="93"/>
      <c r="L51" s="93"/>
      <c r="M51" s="130" t="s">
        <v>194</v>
      </c>
      <c r="N51" s="82" t="s">
        <v>1371</v>
      </c>
      <c r="O51" s="150" t="s">
        <v>1372</v>
      </c>
      <c r="P51" s="392"/>
    </row>
    <row r="52" spans="1:16" s="394" customFormat="1">
      <c r="A52" s="155" t="s">
        <v>1186</v>
      </c>
      <c r="B52" s="359">
        <v>45442</v>
      </c>
      <c r="C52" s="72" t="s">
        <v>1331</v>
      </c>
      <c r="D52" s="204">
        <v>45442</v>
      </c>
      <c r="E52" s="204">
        <v>45443</v>
      </c>
      <c r="F52" s="130">
        <v>22644000</v>
      </c>
      <c r="G52" s="157"/>
      <c r="H52" s="157">
        <f>F52-J52</f>
        <v>20644000</v>
      </c>
      <c r="I52" s="93"/>
      <c r="J52" s="93">
        <v>2000000</v>
      </c>
      <c r="K52" s="93"/>
      <c r="L52" s="93"/>
      <c r="M52" s="130" t="s">
        <v>194</v>
      </c>
      <c r="N52" s="82" t="s">
        <v>1373</v>
      </c>
      <c r="O52" s="150" t="s">
        <v>633</v>
      </c>
      <c r="P52" s="393"/>
    </row>
    <row r="53" spans="1:16" s="134" customFormat="1">
      <c r="A53" s="155" t="s">
        <v>1187</v>
      </c>
      <c r="B53" s="359">
        <v>45443</v>
      </c>
      <c r="C53" s="72" t="s">
        <v>1339</v>
      </c>
      <c r="D53" s="204">
        <v>45443</v>
      </c>
      <c r="E53" s="204">
        <v>45444</v>
      </c>
      <c r="F53" s="130">
        <v>6250000</v>
      </c>
      <c r="G53" s="93"/>
      <c r="H53" s="157">
        <f>F53-J53</f>
        <v>5750000</v>
      </c>
      <c r="I53" s="93"/>
      <c r="J53" s="93">
        <v>500000</v>
      </c>
      <c r="K53" s="93"/>
      <c r="L53" s="93"/>
      <c r="M53" s="130" t="s">
        <v>194</v>
      </c>
      <c r="N53" s="82" t="s">
        <v>1374</v>
      </c>
      <c r="O53" s="150" t="s">
        <v>857</v>
      </c>
      <c r="P53" s="392"/>
    </row>
    <row r="54" spans="1:16">
      <c r="A54" s="45" t="s">
        <v>95</v>
      </c>
      <c r="B54" s="145"/>
      <c r="C54" s="99"/>
      <c r="D54" s="365"/>
      <c r="E54" s="365"/>
      <c r="F54" s="6">
        <f t="shared" ref="F54:P54" si="1">SUM(F3:F53)</f>
        <v>663738000</v>
      </c>
      <c r="G54" s="6">
        <f t="shared" si="1"/>
        <v>469467000</v>
      </c>
      <c r="H54" s="6">
        <f t="shared" si="1"/>
        <v>117401000</v>
      </c>
      <c r="I54" s="6">
        <f t="shared" si="1"/>
        <v>0</v>
      </c>
      <c r="J54" s="6">
        <f t="shared" si="1"/>
        <v>59650000</v>
      </c>
      <c r="K54" s="6">
        <f t="shared" si="1"/>
        <v>17220000</v>
      </c>
      <c r="L54" s="6">
        <f t="shared" si="1"/>
        <v>0</v>
      </c>
      <c r="M54" s="6">
        <f t="shared" si="1"/>
        <v>0</v>
      </c>
      <c r="N54" s="6">
        <f t="shared" si="1"/>
        <v>0</v>
      </c>
      <c r="O54" s="6">
        <f t="shared" si="1"/>
        <v>0</v>
      </c>
      <c r="P54" s="6">
        <f t="shared" si="1"/>
        <v>0</v>
      </c>
    </row>
    <row r="56" spans="1:16">
      <c r="B56" s="439"/>
      <c r="D56" s="488" t="s">
        <v>112</v>
      </c>
      <c r="E56" s="490"/>
      <c r="F56" s="37" t="s">
        <v>111</v>
      </c>
      <c r="H56" s="514" t="s">
        <v>137</v>
      </c>
      <c r="I56" s="515"/>
      <c r="J56" s="516"/>
      <c r="K56" s="121"/>
      <c r="L56" s="292">
        <f>J54+K54+Bills!M16</f>
        <v>76870000</v>
      </c>
      <c r="M56" s="19"/>
    </row>
    <row r="57" spans="1:16" ht="16.149999999999999" customHeight="1">
      <c r="B57" s="439"/>
      <c r="D57" s="183" t="s">
        <v>194</v>
      </c>
      <c r="E57" s="184">
        <f>F8+F9+F10+F13+F15+F16+F17+F19+F21+F22+F23+F24+F25+F26+F27</f>
        <v>218014000</v>
      </c>
      <c r="F57" s="55">
        <f>E57*1%</f>
        <v>2180140</v>
      </c>
      <c r="H57" s="517">
        <f>G54+H54+J54+K54+L54</f>
        <v>663738000</v>
      </c>
      <c r="I57" s="518"/>
      <c r="J57" s="519"/>
      <c r="K57" s="122"/>
    </row>
    <row r="58" spans="1:16">
      <c r="D58" s="183" t="s">
        <v>237</v>
      </c>
      <c r="E58" s="184">
        <f>F4+F5+F18</f>
        <v>23885000</v>
      </c>
      <c r="F58" s="55">
        <f t="shared" ref="F58" si="2">E58*1%</f>
        <v>238850</v>
      </c>
    </row>
    <row r="59" spans="1:16">
      <c r="D59" s="183" t="s">
        <v>236</v>
      </c>
      <c r="E59" s="184"/>
      <c r="F59" s="55">
        <f t="shared" ref="F59:F60" si="3">E59*1%</f>
        <v>0</v>
      </c>
      <c r="H59" s="514" t="s">
        <v>138</v>
      </c>
      <c r="I59" s="515"/>
      <c r="J59" s="516"/>
    </row>
    <row r="60" spans="1:16">
      <c r="D60" s="183" t="s">
        <v>240</v>
      </c>
      <c r="E60" s="184">
        <f>F11+F14</f>
        <v>11690000</v>
      </c>
      <c r="F60" s="55">
        <f t="shared" si="3"/>
        <v>116900</v>
      </c>
      <c r="H60" s="511">
        <f>J54+K54+L54</f>
        <v>76870000</v>
      </c>
      <c r="I60" s="512"/>
      <c r="J60" s="513"/>
    </row>
    <row r="61" spans="1:16">
      <c r="D61" s="183" t="s">
        <v>616</v>
      </c>
      <c r="E61" s="130"/>
      <c r="F61" s="55">
        <f>5/100*E61</f>
        <v>0</v>
      </c>
    </row>
    <row r="62" spans="1:16">
      <c r="D62" s="183"/>
      <c r="E62" s="130"/>
      <c r="F62" s="55"/>
      <c r="H62" s="120" t="s">
        <v>1431</v>
      </c>
      <c r="J62" s="471"/>
    </row>
    <row r="63" spans="1:16">
      <c r="D63" s="161" t="s">
        <v>95</v>
      </c>
      <c r="E63" s="185">
        <f>SUM(E57:E62)</f>
        <v>253589000</v>
      </c>
      <c r="F63" s="28">
        <f>SUM(F57:F62)</f>
        <v>2535890</v>
      </c>
      <c r="L63" s="154"/>
    </row>
    <row r="64" spans="1:16">
      <c r="H64" s="474">
        <f>H54+Kuitansi!G174</f>
        <v>119681000</v>
      </c>
    </row>
    <row r="69" spans="7:10">
      <c r="G69" s="120">
        <f>G54-Cashflow!F589</f>
        <v>0</v>
      </c>
      <c r="J69" s="424"/>
    </row>
  </sheetData>
  <mergeCells count="17">
    <mergeCell ref="D56:E56"/>
    <mergeCell ref="H59:J59"/>
    <mergeCell ref="A1:A2"/>
    <mergeCell ref="C1:C2"/>
    <mergeCell ref="D1:D2"/>
    <mergeCell ref="E1:E2"/>
    <mergeCell ref="B1:B2"/>
    <mergeCell ref="P1:P2"/>
    <mergeCell ref="H60:J60"/>
    <mergeCell ref="H56:J56"/>
    <mergeCell ref="H57:J57"/>
    <mergeCell ref="F1:F2"/>
    <mergeCell ref="O1:O2"/>
    <mergeCell ref="N1:N2"/>
    <mergeCell ref="M1:M2"/>
    <mergeCell ref="H1:I1"/>
    <mergeCell ref="J1:L1"/>
  </mergeCells>
  <phoneticPr fontId="24" type="noConversion"/>
  <pageMargins left="0" right="0" top="0" bottom="0" header="0" footer="0"/>
  <pageSetup paperSize="9" scale="44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6"/>
  <sheetViews>
    <sheetView topLeftCell="A175" zoomScale="98" zoomScaleNormal="98" workbookViewId="0">
      <selection activeCell="C193" sqref="C193"/>
    </sheetView>
  </sheetViews>
  <sheetFormatPr defaultRowHeight="15"/>
  <cols>
    <col min="1" max="1" width="11" customWidth="1"/>
    <col min="2" max="2" width="74.42578125" customWidth="1"/>
    <col min="3" max="3" width="15" customWidth="1"/>
    <col min="4" max="4" width="12.5703125" style="52" customWidth="1"/>
    <col min="6" max="6" width="12.85546875" bestFit="1" customWidth="1"/>
    <col min="7" max="7" width="12.5703125" bestFit="1" customWidth="1"/>
  </cols>
  <sheetData>
    <row r="1" spans="1:7" ht="18.75">
      <c r="A1" s="194" t="s">
        <v>266</v>
      </c>
    </row>
    <row r="2" spans="1:7">
      <c r="A2" s="197" t="s">
        <v>219</v>
      </c>
      <c r="B2" s="197"/>
      <c r="C2" s="197" t="s">
        <v>58</v>
      </c>
      <c r="D2" s="263" t="s">
        <v>267</v>
      </c>
      <c r="E2" s="208" t="s">
        <v>59</v>
      </c>
      <c r="F2" s="208" t="s">
        <v>60</v>
      </c>
      <c r="G2" s="208" t="s">
        <v>268</v>
      </c>
    </row>
    <row r="3" spans="1:7">
      <c r="A3" s="91">
        <v>45309</v>
      </c>
      <c r="B3" s="295" t="s">
        <v>242</v>
      </c>
      <c r="C3" s="219">
        <v>1000000</v>
      </c>
      <c r="D3" s="35" t="s">
        <v>1451</v>
      </c>
      <c r="E3" s="16"/>
      <c r="F3" s="47">
        <v>1000000</v>
      </c>
      <c r="G3" s="48">
        <f t="shared" ref="G3:G4" si="0">C3-E3-F3</f>
        <v>0</v>
      </c>
    </row>
    <row r="4" spans="1:7">
      <c r="A4" s="91">
        <v>45314</v>
      </c>
      <c r="B4" s="295" t="s">
        <v>243</v>
      </c>
      <c r="C4" s="93">
        <v>1000000</v>
      </c>
      <c r="D4" s="203"/>
      <c r="E4" s="16"/>
      <c r="F4" s="47"/>
      <c r="G4" s="48">
        <f t="shared" si="0"/>
        <v>1000000</v>
      </c>
    </row>
    <row r="5" spans="1:7">
      <c r="A5" s="295"/>
      <c r="B5" s="295" t="s">
        <v>95</v>
      </c>
      <c r="C5" s="48">
        <f>SUM(C3:C4)</f>
        <v>2000000</v>
      </c>
      <c r="D5" s="48">
        <f>SUM(D3:D4)</f>
        <v>0</v>
      </c>
      <c r="E5" s="48">
        <f>SUM(E3:E4)</f>
        <v>0</v>
      </c>
      <c r="F5" s="48">
        <f>SUM(F3:F4)</f>
        <v>1000000</v>
      </c>
      <c r="G5" s="48">
        <f>SUM(G3:G4)</f>
        <v>1000000</v>
      </c>
    </row>
    <row r="6" spans="1:7">
      <c r="A6" s="197" t="s">
        <v>220</v>
      </c>
      <c r="B6" s="197"/>
      <c r="C6" s="197" t="s">
        <v>58</v>
      </c>
      <c r="D6" s="263" t="s">
        <v>267</v>
      </c>
      <c r="E6" s="208" t="s">
        <v>59</v>
      </c>
      <c r="F6" s="208" t="s">
        <v>60</v>
      </c>
      <c r="G6" s="208" t="s">
        <v>268</v>
      </c>
    </row>
    <row r="7" spans="1:7">
      <c r="A7" s="91">
        <v>45304</v>
      </c>
      <c r="B7" s="295" t="s">
        <v>239</v>
      </c>
      <c r="C7" s="219">
        <v>5000000</v>
      </c>
      <c r="D7" s="35" t="s">
        <v>1450</v>
      </c>
      <c r="E7" s="16"/>
      <c r="F7" s="16">
        <v>5000000</v>
      </c>
      <c r="G7" s="48">
        <f t="shared" ref="G7:G14" si="1">C7-E7-F7</f>
        <v>0</v>
      </c>
    </row>
    <row r="8" spans="1:7">
      <c r="A8" s="91">
        <v>45304</v>
      </c>
      <c r="B8" s="295" t="s">
        <v>238</v>
      </c>
      <c r="C8" s="219">
        <v>1000000</v>
      </c>
      <c r="D8" s="35" t="s">
        <v>1447</v>
      </c>
      <c r="E8" s="16"/>
      <c r="F8" s="16">
        <v>1000000</v>
      </c>
      <c r="G8" s="48">
        <f t="shared" si="1"/>
        <v>0</v>
      </c>
    </row>
    <row r="9" spans="1:7">
      <c r="A9" s="91">
        <v>45307</v>
      </c>
      <c r="B9" s="295" t="s">
        <v>241</v>
      </c>
      <c r="C9" s="93">
        <v>300000</v>
      </c>
      <c r="D9" s="35"/>
      <c r="E9" s="16"/>
      <c r="F9" s="16"/>
      <c r="G9" s="48">
        <f t="shared" si="1"/>
        <v>300000</v>
      </c>
    </row>
    <row r="10" spans="1:7">
      <c r="A10" s="91">
        <v>45314</v>
      </c>
      <c r="B10" s="295" t="s">
        <v>246</v>
      </c>
      <c r="C10" s="93">
        <v>1000000</v>
      </c>
      <c r="D10" s="35" t="s">
        <v>1457</v>
      </c>
      <c r="E10" s="16"/>
      <c r="F10" s="16">
        <v>1000000</v>
      </c>
      <c r="G10" s="48">
        <f t="shared" si="1"/>
        <v>0</v>
      </c>
    </row>
    <row r="11" spans="1:7">
      <c r="A11" s="91">
        <v>45314</v>
      </c>
      <c r="B11" s="295" t="s">
        <v>244</v>
      </c>
      <c r="C11" s="93">
        <v>1000000</v>
      </c>
      <c r="D11" s="35" t="s">
        <v>1444</v>
      </c>
      <c r="E11" s="16"/>
      <c r="F11" s="16">
        <v>1000000</v>
      </c>
      <c r="G11" s="48">
        <f t="shared" si="1"/>
        <v>0</v>
      </c>
    </row>
    <row r="12" spans="1:7">
      <c r="A12" s="91">
        <v>45314</v>
      </c>
      <c r="B12" s="295" t="s">
        <v>245</v>
      </c>
      <c r="C12" s="93">
        <v>1000000</v>
      </c>
      <c r="D12" s="35" t="s">
        <v>1432</v>
      </c>
      <c r="E12" s="16"/>
      <c r="F12" s="16">
        <v>1000000</v>
      </c>
      <c r="G12" s="48">
        <f t="shared" si="1"/>
        <v>0</v>
      </c>
    </row>
    <row r="13" spans="1:7">
      <c r="A13" s="91">
        <v>45316</v>
      </c>
      <c r="B13" s="295" t="s">
        <v>247</v>
      </c>
      <c r="C13" s="93">
        <v>1000000</v>
      </c>
      <c r="D13" s="35" t="s">
        <v>1464</v>
      </c>
      <c r="E13" s="16"/>
      <c r="F13" s="16">
        <v>1000000</v>
      </c>
      <c r="G13" s="48">
        <f t="shared" si="1"/>
        <v>0</v>
      </c>
    </row>
    <row r="14" spans="1:7">
      <c r="A14" s="91">
        <v>45318</v>
      </c>
      <c r="B14" s="295" t="s">
        <v>269</v>
      </c>
      <c r="C14" s="93">
        <v>500000</v>
      </c>
      <c r="D14" s="99"/>
      <c r="E14" s="295"/>
      <c r="F14" s="295"/>
      <c r="G14" s="48">
        <f t="shared" si="1"/>
        <v>500000</v>
      </c>
    </row>
    <row r="15" spans="1:7">
      <c r="B15" t="s">
        <v>270</v>
      </c>
      <c r="C15" s="151">
        <f>SUM(C7:C14)</f>
        <v>10800000</v>
      </c>
      <c r="D15" s="151"/>
      <c r="E15" s="151">
        <f>SUM(E7:E14)</f>
        <v>0</v>
      </c>
      <c r="F15" s="151">
        <f>SUM(F7:F14)</f>
        <v>10000000</v>
      </c>
      <c r="G15" s="151">
        <f>SUM(G7:G14)</f>
        <v>800000</v>
      </c>
    </row>
    <row r="16" spans="1:7">
      <c r="B16" s="21" t="s">
        <v>641</v>
      </c>
      <c r="C16" s="403">
        <f>C5+C15</f>
        <v>12800000</v>
      </c>
      <c r="D16" s="403">
        <f>D5+D15</f>
        <v>0</v>
      </c>
      <c r="E16" s="403">
        <f>E5+E15</f>
        <v>0</v>
      </c>
      <c r="F16" s="403">
        <f>F5+F15</f>
        <v>11000000</v>
      </c>
      <c r="G16" s="403">
        <f>G5+G15</f>
        <v>1800000</v>
      </c>
    </row>
    <row r="17" spans="1:7">
      <c r="A17" s="197" t="s">
        <v>457</v>
      </c>
      <c r="B17" s="197"/>
      <c r="C17" s="197" t="s">
        <v>58</v>
      </c>
      <c r="D17" s="263" t="s">
        <v>267</v>
      </c>
      <c r="E17" s="208" t="s">
        <v>59</v>
      </c>
      <c r="F17" s="208" t="s">
        <v>60</v>
      </c>
      <c r="G17" s="208" t="s">
        <v>268</v>
      </c>
    </row>
    <row r="18" spans="1:7">
      <c r="A18" s="91">
        <v>45324</v>
      </c>
      <c r="B18" s="295" t="s">
        <v>458</v>
      </c>
      <c r="C18" s="93">
        <v>500000</v>
      </c>
      <c r="D18" s="264" t="s">
        <v>1442</v>
      </c>
      <c r="E18" s="211"/>
      <c r="F18" s="211">
        <v>500000</v>
      </c>
      <c r="G18" s="48">
        <f t="shared" ref="G18:G19" si="2">C18-E18-F18</f>
        <v>0</v>
      </c>
    </row>
    <row r="19" spans="1:7">
      <c r="A19" s="91">
        <v>45338</v>
      </c>
      <c r="B19" s="49" t="s">
        <v>459</v>
      </c>
      <c r="C19" s="93">
        <v>500000</v>
      </c>
      <c r="D19" s="219"/>
      <c r="E19" s="219"/>
      <c r="F19" s="219"/>
      <c r="G19" s="48">
        <f t="shared" si="2"/>
        <v>500000</v>
      </c>
    </row>
    <row r="20" spans="1:7">
      <c r="B20" s="265" t="s">
        <v>270</v>
      </c>
      <c r="C20" s="143">
        <f>SUM(C18:C19)</f>
        <v>1000000</v>
      </c>
      <c r="D20" s="143">
        <f>SUM(D18:D19)</f>
        <v>0</v>
      </c>
      <c r="E20" s="143">
        <f>SUM(E18:E19)</f>
        <v>0</v>
      </c>
      <c r="F20" s="143">
        <f>SUM(F18:F19)</f>
        <v>500000</v>
      </c>
      <c r="G20" s="143">
        <f>SUM(G18:G19)</f>
        <v>500000</v>
      </c>
    </row>
    <row r="21" spans="1:7">
      <c r="A21" s="197" t="s">
        <v>460</v>
      </c>
      <c r="B21" s="197"/>
      <c r="C21" s="197" t="s">
        <v>58</v>
      </c>
      <c r="D21" s="263" t="s">
        <v>267</v>
      </c>
      <c r="E21" s="208" t="s">
        <v>59</v>
      </c>
      <c r="F21" s="208" t="s">
        <v>60</v>
      </c>
      <c r="G21" s="208" t="s">
        <v>268</v>
      </c>
    </row>
    <row r="22" spans="1:7">
      <c r="A22" s="91">
        <v>45325</v>
      </c>
      <c r="B22" s="295" t="s">
        <v>461</v>
      </c>
      <c r="C22" s="93">
        <v>3000000</v>
      </c>
      <c r="D22" s="219"/>
      <c r="E22" s="219"/>
      <c r="F22" s="219"/>
      <c r="G22" s="48">
        <f t="shared" ref="G22:G27" si="3">C22-E22-F22</f>
        <v>3000000</v>
      </c>
    </row>
    <row r="23" spans="1:7">
      <c r="A23" s="91">
        <v>45328</v>
      </c>
      <c r="B23" s="295" t="s">
        <v>462</v>
      </c>
      <c r="C23" s="93">
        <v>2000000</v>
      </c>
      <c r="D23" s="219"/>
      <c r="E23" s="219"/>
      <c r="F23" s="219"/>
      <c r="G23" s="48">
        <f t="shared" si="3"/>
        <v>2000000</v>
      </c>
    </row>
    <row r="24" spans="1:7">
      <c r="A24" s="91">
        <v>45331</v>
      </c>
      <c r="B24" s="49" t="s">
        <v>463</v>
      </c>
      <c r="C24" s="93">
        <v>1000000</v>
      </c>
      <c r="D24" s="219" t="s">
        <v>1467</v>
      </c>
      <c r="E24" s="219"/>
      <c r="F24" s="219">
        <v>1000000</v>
      </c>
      <c r="G24" s="48">
        <f t="shared" si="3"/>
        <v>0</v>
      </c>
    </row>
    <row r="25" spans="1:7">
      <c r="A25" s="91">
        <v>45341</v>
      </c>
      <c r="B25" s="295" t="s">
        <v>464</v>
      </c>
      <c r="C25" s="93">
        <v>850000</v>
      </c>
      <c r="D25" s="219" t="s">
        <v>1448</v>
      </c>
      <c r="E25" s="219"/>
      <c r="F25" s="219">
        <v>850000</v>
      </c>
      <c r="G25" s="48">
        <f t="shared" si="3"/>
        <v>0</v>
      </c>
    </row>
    <row r="26" spans="1:7">
      <c r="A26" s="91">
        <v>45345</v>
      </c>
      <c r="B26" s="295" t="s">
        <v>465</v>
      </c>
      <c r="C26" s="93">
        <v>500000</v>
      </c>
      <c r="D26" s="219" t="s">
        <v>1443</v>
      </c>
      <c r="E26" s="219"/>
      <c r="F26" s="219">
        <v>500000</v>
      </c>
      <c r="G26" s="48">
        <f t="shared" si="3"/>
        <v>0</v>
      </c>
    </row>
    <row r="27" spans="1:7">
      <c r="A27" s="91">
        <v>45346</v>
      </c>
      <c r="B27" s="49" t="s">
        <v>466</v>
      </c>
      <c r="C27" s="93">
        <v>2000000</v>
      </c>
      <c r="D27" s="219"/>
      <c r="E27" s="219"/>
      <c r="F27" s="219"/>
      <c r="G27" s="48">
        <f t="shared" si="3"/>
        <v>2000000</v>
      </c>
    </row>
    <row r="28" spans="1:7">
      <c r="B28" s="291" t="s">
        <v>270</v>
      </c>
      <c r="C28" s="373">
        <f>SUM(C22:C27)</f>
        <v>9350000</v>
      </c>
      <c r="D28" s="151">
        <f>SUM(D22:D27)</f>
        <v>0</v>
      </c>
      <c r="E28" s="151">
        <f>SUM(E22:E27)</f>
        <v>0</v>
      </c>
      <c r="F28" s="151">
        <f>SUM(F22:F27)</f>
        <v>2350000</v>
      </c>
      <c r="G28" s="151">
        <f>SUM(G22:G27)</f>
        <v>7000000</v>
      </c>
    </row>
    <row r="29" spans="1:7">
      <c r="B29" s="404" t="s">
        <v>642</v>
      </c>
      <c r="C29" s="403">
        <f>C20+C28</f>
        <v>10350000</v>
      </c>
      <c r="D29" s="403">
        <f>D20+D28</f>
        <v>0</v>
      </c>
      <c r="E29" s="403">
        <f>E20+E28</f>
        <v>0</v>
      </c>
      <c r="F29" s="403">
        <f>F20+F28</f>
        <v>2850000</v>
      </c>
      <c r="G29" s="403">
        <f>G20+G28</f>
        <v>7500000</v>
      </c>
    </row>
    <row r="30" spans="1:7">
      <c r="A30" s="197" t="s">
        <v>518</v>
      </c>
      <c r="B30" s="197"/>
      <c r="C30" s="197" t="s">
        <v>58</v>
      </c>
      <c r="D30" s="263" t="s">
        <v>267</v>
      </c>
      <c r="E30" s="208" t="s">
        <v>59</v>
      </c>
      <c r="F30" s="208" t="s">
        <v>60</v>
      </c>
      <c r="G30" s="208" t="s">
        <v>268</v>
      </c>
    </row>
    <row r="31" spans="1:7" s="258" customFormat="1">
      <c r="A31" s="91">
        <v>45355</v>
      </c>
      <c r="B31" s="49" t="s">
        <v>511</v>
      </c>
      <c r="C31" s="93">
        <v>300000</v>
      </c>
      <c r="D31" s="219"/>
      <c r="E31" s="219"/>
      <c r="F31" s="219"/>
      <c r="G31" s="93">
        <f t="shared" ref="G31" si="4">C31-E31-F31</f>
        <v>300000</v>
      </c>
    </row>
    <row r="32" spans="1:7" s="258" customFormat="1">
      <c r="A32" s="366">
        <v>45357</v>
      </c>
      <c r="B32" s="370" t="s">
        <v>512</v>
      </c>
      <c r="C32" s="93">
        <v>2000000</v>
      </c>
      <c r="D32" s="93" t="s">
        <v>1435</v>
      </c>
      <c r="E32" s="93"/>
      <c r="F32" s="93">
        <v>2000000</v>
      </c>
      <c r="G32" s="93">
        <f>C32-E32-F32</f>
        <v>0</v>
      </c>
    </row>
    <row r="33" spans="1:7" s="258" customFormat="1">
      <c r="A33" s="354">
        <v>45365</v>
      </c>
      <c r="B33" s="371" t="s">
        <v>520</v>
      </c>
      <c r="C33" s="93">
        <v>1000000</v>
      </c>
      <c r="D33" s="36"/>
      <c r="E33" s="36"/>
      <c r="F33" s="36"/>
      <c r="G33" s="93">
        <f>C33-E33-F33</f>
        <v>1000000</v>
      </c>
    </row>
    <row r="34" spans="1:7" s="258" customFormat="1">
      <c r="A34" s="354">
        <v>45369</v>
      </c>
      <c r="B34" s="372" t="s">
        <v>513</v>
      </c>
      <c r="C34" s="93">
        <v>310000</v>
      </c>
      <c r="D34" s="36"/>
      <c r="E34" s="36"/>
      <c r="F34" s="36"/>
      <c r="G34" s="93">
        <v>310000</v>
      </c>
    </row>
    <row r="35" spans="1:7" s="258" customFormat="1">
      <c r="A35" s="367"/>
      <c r="B35" s="405" t="s">
        <v>270</v>
      </c>
      <c r="C35" s="406">
        <f>SUM(C31:C34)</f>
        <v>3610000</v>
      </c>
      <c r="D35" s="406">
        <f>SUM(D31:D34)</f>
        <v>0</v>
      </c>
      <c r="E35" s="406">
        <f>SUM(E31:E34)</f>
        <v>0</v>
      </c>
      <c r="F35" s="406">
        <f>SUM(F31:F34)</f>
        <v>2000000</v>
      </c>
      <c r="G35" s="406">
        <f>SUM(G31:G34)</f>
        <v>1610000</v>
      </c>
    </row>
    <row r="36" spans="1:7">
      <c r="A36" s="197" t="s">
        <v>519</v>
      </c>
      <c r="B36" s="197"/>
      <c r="C36" s="197" t="s">
        <v>58</v>
      </c>
      <c r="D36" s="263" t="s">
        <v>267</v>
      </c>
      <c r="E36" s="208" t="s">
        <v>59</v>
      </c>
      <c r="F36" s="208" t="s">
        <v>60</v>
      </c>
      <c r="G36" s="208" t="s">
        <v>268</v>
      </c>
    </row>
    <row r="37" spans="1:7">
      <c r="A37" s="354">
        <v>45355</v>
      </c>
      <c r="B37" s="274" t="s">
        <v>511</v>
      </c>
      <c r="C37" s="93">
        <v>300000</v>
      </c>
      <c r="D37" s="219" t="s">
        <v>1449</v>
      </c>
      <c r="E37" s="219"/>
      <c r="F37" s="219">
        <v>300000</v>
      </c>
      <c r="G37" s="93">
        <f t="shared" ref="G37:G48" si="5">C37-E37-F37</f>
        <v>0</v>
      </c>
    </row>
    <row r="38" spans="1:7">
      <c r="A38" s="354">
        <v>45357</v>
      </c>
      <c r="B38" s="274" t="s">
        <v>503</v>
      </c>
      <c r="C38" s="93">
        <v>1000000</v>
      </c>
      <c r="D38" s="219" t="s">
        <v>1473</v>
      </c>
      <c r="E38" s="219"/>
      <c r="F38" s="219">
        <v>1000000</v>
      </c>
      <c r="G38" s="93">
        <f t="shared" si="5"/>
        <v>0</v>
      </c>
    </row>
    <row r="39" spans="1:7">
      <c r="A39" s="354">
        <v>45358</v>
      </c>
      <c r="B39" s="368" t="s">
        <v>504</v>
      </c>
      <c r="C39" s="93">
        <v>1000000</v>
      </c>
      <c r="D39" s="219" t="s">
        <v>1460</v>
      </c>
      <c r="E39" s="219"/>
      <c r="F39" s="219">
        <v>1000000</v>
      </c>
      <c r="G39" s="93">
        <f t="shared" si="5"/>
        <v>0</v>
      </c>
    </row>
    <row r="40" spans="1:7">
      <c r="A40" s="354">
        <v>45360</v>
      </c>
      <c r="B40" s="274" t="s">
        <v>505</v>
      </c>
      <c r="C40" s="93">
        <v>1000000</v>
      </c>
      <c r="D40" s="219" t="s">
        <v>1466</v>
      </c>
      <c r="E40" s="219"/>
      <c r="F40" s="219">
        <v>1000000</v>
      </c>
      <c r="G40" s="93">
        <f t="shared" si="5"/>
        <v>0</v>
      </c>
    </row>
    <row r="41" spans="1:7">
      <c r="A41" s="354">
        <v>45369</v>
      </c>
      <c r="B41" s="287" t="s">
        <v>506</v>
      </c>
      <c r="C41" s="93">
        <v>500000</v>
      </c>
      <c r="D41" s="219" t="s">
        <v>1468</v>
      </c>
      <c r="E41" s="219"/>
      <c r="F41" s="219">
        <v>500000</v>
      </c>
      <c r="G41" s="93">
        <f t="shared" si="5"/>
        <v>0</v>
      </c>
    </row>
    <row r="42" spans="1:7">
      <c r="A42" s="354">
        <v>45370</v>
      </c>
      <c r="B42" s="274" t="s">
        <v>507</v>
      </c>
      <c r="C42" s="93">
        <v>2000000</v>
      </c>
      <c r="D42" s="219"/>
      <c r="E42" s="219"/>
      <c r="F42" s="219"/>
      <c r="G42" s="93">
        <f t="shared" si="5"/>
        <v>2000000</v>
      </c>
    </row>
    <row r="43" spans="1:7">
      <c r="A43" s="354">
        <v>45372</v>
      </c>
      <c r="B43" s="351" t="s">
        <v>508</v>
      </c>
      <c r="C43" s="93">
        <v>500000</v>
      </c>
      <c r="D43" s="219" t="s">
        <v>1433</v>
      </c>
      <c r="E43" s="219"/>
      <c r="F43" s="219">
        <v>500000</v>
      </c>
      <c r="G43" s="93">
        <f t="shared" si="5"/>
        <v>0</v>
      </c>
    </row>
    <row r="44" spans="1:7">
      <c r="A44" s="354">
        <v>45374</v>
      </c>
      <c r="B44" s="287" t="s">
        <v>509</v>
      </c>
      <c r="C44" s="93">
        <v>1000000</v>
      </c>
      <c r="D44" s="219"/>
      <c r="E44" s="219"/>
      <c r="F44" s="219"/>
      <c r="G44" s="93">
        <f t="shared" si="5"/>
        <v>1000000</v>
      </c>
    </row>
    <row r="45" spans="1:7">
      <c r="A45" s="354">
        <v>45376</v>
      </c>
      <c r="B45" s="287" t="s">
        <v>510</v>
      </c>
      <c r="C45" s="93">
        <v>1000000</v>
      </c>
      <c r="D45" s="219"/>
      <c r="E45" s="219"/>
      <c r="F45" s="219"/>
      <c r="G45" s="93">
        <f t="shared" si="5"/>
        <v>1000000</v>
      </c>
    </row>
    <row r="46" spans="1:7">
      <c r="A46" s="354">
        <v>45378</v>
      </c>
      <c r="B46" s="287" t="s">
        <v>515</v>
      </c>
      <c r="C46" s="93">
        <v>500000</v>
      </c>
      <c r="D46" s="219" t="s">
        <v>1456</v>
      </c>
      <c r="E46" s="219"/>
      <c r="F46" s="219">
        <v>500000</v>
      </c>
      <c r="G46" s="93">
        <f t="shared" si="5"/>
        <v>0</v>
      </c>
    </row>
    <row r="47" spans="1:7" ht="30">
      <c r="A47" s="91">
        <v>45378</v>
      </c>
      <c r="B47" s="287" t="s">
        <v>514</v>
      </c>
      <c r="C47" s="93">
        <v>300000</v>
      </c>
      <c r="D47" s="219"/>
      <c r="E47" s="219"/>
      <c r="F47" s="219"/>
      <c r="G47" s="93">
        <f t="shared" si="5"/>
        <v>300000</v>
      </c>
    </row>
    <row r="48" spans="1:7">
      <c r="A48" s="386"/>
      <c r="B48" s="372" t="s">
        <v>270</v>
      </c>
      <c r="C48" s="219">
        <f>SUM(C37:C47)</f>
        <v>9100000</v>
      </c>
      <c r="D48" s="219">
        <f>SUM(D37:D47)</f>
        <v>0</v>
      </c>
      <c r="E48" s="219">
        <f>SUM(E37:E47)</f>
        <v>0</v>
      </c>
      <c r="F48" s="219">
        <f>SUM(F37:F47)</f>
        <v>4800000</v>
      </c>
      <c r="G48" s="93">
        <f t="shared" si="5"/>
        <v>4300000</v>
      </c>
    </row>
    <row r="49" spans="1:7">
      <c r="B49" s="407" t="s">
        <v>643</v>
      </c>
      <c r="C49" s="403">
        <f>C35+C48</f>
        <v>12710000</v>
      </c>
      <c r="D49" s="403">
        <f>D35+D48</f>
        <v>0</v>
      </c>
      <c r="E49" s="403">
        <f>E35+E48</f>
        <v>0</v>
      </c>
      <c r="F49" s="403">
        <f>F35+F48</f>
        <v>6800000</v>
      </c>
      <c r="G49" s="403">
        <f>G35+G48</f>
        <v>5910000</v>
      </c>
    </row>
    <row r="50" spans="1:7">
      <c r="A50" s="197" t="s">
        <v>639</v>
      </c>
      <c r="B50" s="197"/>
      <c r="C50" s="197" t="s">
        <v>58</v>
      </c>
      <c r="D50" s="263" t="s">
        <v>267</v>
      </c>
      <c r="E50" s="208" t="s">
        <v>59</v>
      </c>
      <c r="F50" s="208" t="s">
        <v>60</v>
      </c>
      <c r="G50" s="208" t="s">
        <v>268</v>
      </c>
    </row>
    <row r="51" spans="1:7">
      <c r="A51" s="366">
        <v>45401</v>
      </c>
      <c r="B51" s="287" t="s">
        <v>632</v>
      </c>
      <c r="C51" s="93">
        <v>2000000</v>
      </c>
      <c r="D51" s="219" t="s">
        <v>1466</v>
      </c>
      <c r="E51" s="219"/>
      <c r="F51" s="219">
        <v>2000000</v>
      </c>
      <c r="G51" s="93">
        <f>C51-E51-F51</f>
        <v>0</v>
      </c>
    </row>
    <row r="52" spans="1:7">
      <c r="A52" s="91">
        <v>45408</v>
      </c>
      <c r="B52" s="368" t="s">
        <v>636</v>
      </c>
      <c r="C52" s="93">
        <v>500000</v>
      </c>
      <c r="D52" s="219"/>
      <c r="E52" s="219"/>
      <c r="F52" s="16"/>
      <c r="G52" s="93">
        <f t="shared" ref="G52:G53" si="6">C52-E52-F52</f>
        <v>500000</v>
      </c>
    </row>
    <row r="53" spans="1:7">
      <c r="A53" s="91">
        <v>45411</v>
      </c>
      <c r="B53" s="287" t="s">
        <v>637</v>
      </c>
      <c r="C53" s="93">
        <v>1000000</v>
      </c>
      <c r="D53" s="219" t="s">
        <v>1455</v>
      </c>
      <c r="E53" s="219"/>
      <c r="F53" s="16">
        <v>1000000</v>
      </c>
      <c r="G53" s="93">
        <f t="shared" si="6"/>
        <v>0</v>
      </c>
    </row>
    <row r="54" spans="1:7">
      <c r="A54" s="91"/>
      <c r="B54" s="287" t="s">
        <v>270</v>
      </c>
      <c r="C54" s="93">
        <f>SUM(C51:C53)</f>
        <v>3500000</v>
      </c>
      <c r="D54" s="93">
        <f>SUM(D51:D53)</f>
        <v>0</v>
      </c>
      <c r="E54" s="93">
        <f>SUM(E51:E53)</f>
        <v>0</v>
      </c>
      <c r="F54" s="93">
        <f>SUM(F51:F53)</f>
        <v>3000000</v>
      </c>
      <c r="G54" s="93">
        <f>SUM(G51:G53)</f>
        <v>500000</v>
      </c>
    </row>
    <row r="55" spans="1:7">
      <c r="A55" s="197" t="s">
        <v>640</v>
      </c>
      <c r="B55" s="197"/>
      <c r="C55" s="197" t="s">
        <v>58</v>
      </c>
      <c r="D55" s="263" t="s">
        <v>267</v>
      </c>
      <c r="E55" s="208" t="s">
        <v>59</v>
      </c>
      <c r="F55" s="208" t="s">
        <v>60</v>
      </c>
      <c r="G55" s="208" t="s">
        <v>268</v>
      </c>
    </row>
    <row r="56" spans="1:7" ht="30">
      <c r="A56" s="354">
        <v>45383</v>
      </c>
      <c r="B56" s="287" t="s">
        <v>617</v>
      </c>
      <c r="C56" s="59">
        <v>2000000</v>
      </c>
      <c r="D56" s="219" t="s">
        <v>1458</v>
      </c>
      <c r="E56" s="219"/>
      <c r="F56" s="219">
        <v>2000000</v>
      </c>
      <c r="G56" s="93">
        <f t="shared" ref="G56:G71" si="7">C56-E56-F56</f>
        <v>0</v>
      </c>
    </row>
    <row r="57" spans="1:7">
      <c r="A57" s="354">
        <v>45385</v>
      </c>
      <c r="B57" s="368" t="s">
        <v>618</v>
      </c>
      <c r="C57" s="59">
        <v>1000000</v>
      </c>
      <c r="D57" s="219" t="s">
        <v>1465</v>
      </c>
      <c r="E57" s="219"/>
      <c r="F57" s="219">
        <v>1000000</v>
      </c>
      <c r="G57" s="93">
        <f t="shared" si="7"/>
        <v>0</v>
      </c>
    </row>
    <row r="58" spans="1:7">
      <c r="A58" s="354">
        <v>45386</v>
      </c>
      <c r="B58" s="368" t="s">
        <v>620</v>
      </c>
      <c r="C58" s="93">
        <v>10000000</v>
      </c>
      <c r="D58" s="219" t="s">
        <v>1439</v>
      </c>
      <c r="E58" s="219"/>
      <c r="F58" s="219">
        <v>10000000</v>
      </c>
      <c r="G58" s="93">
        <f t="shared" si="7"/>
        <v>0</v>
      </c>
    </row>
    <row r="59" spans="1:7" ht="30">
      <c r="A59" s="354">
        <v>45387</v>
      </c>
      <c r="B59" s="287" t="s">
        <v>622</v>
      </c>
      <c r="C59" s="93">
        <v>1000000</v>
      </c>
      <c r="D59" s="219"/>
      <c r="E59" s="219"/>
      <c r="F59" s="16"/>
      <c r="G59" s="93">
        <f t="shared" si="7"/>
        <v>1000000</v>
      </c>
    </row>
    <row r="60" spans="1:7" ht="30">
      <c r="A60" s="354">
        <v>45390</v>
      </c>
      <c r="B60" s="287" t="s">
        <v>623</v>
      </c>
      <c r="C60" s="93">
        <v>1000000</v>
      </c>
      <c r="D60" s="219"/>
      <c r="E60" s="219"/>
      <c r="F60" s="16"/>
      <c r="G60" s="93">
        <f t="shared" si="7"/>
        <v>1000000</v>
      </c>
    </row>
    <row r="61" spans="1:7">
      <c r="A61" s="354">
        <v>45390</v>
      </c>
      <c r="B61" s="368" t="s">
        <v>624</v>
      </c>
      <c r="C61" s="93">
        <v>2000000</v>
      </c>
      <c r="D61" s="219"/>
      <c r="E61" s="219"/>
      <c r="F61" s="16"/>
      <c r="G61" s="93">
        <f t="shared" si="7"/>
        <v>2000000</v>
      </c>
    </row>
    <row r="62" spans="1:7">
      <c r="A62" s="91">
        <v>45400</v>
      </c>
      <c r="B62" s="287" t="s">
        <v>625</v>
      </c>
      <c r="C62" s="93">
        <v>2000000</v>
      </c>
      <c r="D62" s="219" t="s">
        <v>1470</v>
      </c>
      <c r="E62" s="219"/>
      <c r="F62" s="16">
        <v>2000000</v>
      </c>
      <c r="G62" s="93">
        <f t="shared" si="7"/>
        <v>0</v>
      </c>
    </row>
    <row r="63" spans="1:7" ht="30">
      <c r="A63" s="366">
        <v>45401</v>
      </c>
      <c r="B63" s="287" t="s">
        <v>619</v>
      </c>
      <c r="C63" s="93">
        <v>1500000</v>
      </c>
      <c r="D63" s="219" t="s">
        <v>1469</v>
      </c>
      <c r="E63" s="219"/>
      <c r="F63" s="16">
        <v>1500000</v>
      </c>
      <c r="G63" s="93">
        <f t="shared" si="7"/>
        <v>0</v>
      </c>
    </row>
    <row r="64" spans="1:7">
      <c r="A64" s="91">
        <v>45404</v>
      </c>
      <c r="B64" s="368" t="s">
        <v>626</v>
      </c>
      <c r="C64" s="93">
        <v>2000000</v>
      </c>
      <c r="D64" s="219" t="s">
        <v>1475</v>
      </c>
      <c r="E64" s="219"/>
      <c r="F64" s="16">
        <v>2000000</v>
      </c>
      <c r="G64" s="93">
        <f t="shared" si="7"/>
        <v>0</v>
      </c>
    </row>
    <row r="65" spans="1:7">
      <c r="A65" s="354">
        <v>45406</v>
      </c>
      <c r="B65" s="287" t="s">
        <v>627</v>
      </c>
      <c r="C65" s="93">
        <v>1000000</v>
      </c>
      <c r="D65" s="219"/>
      <c r="E65" s="219"/>
      <c r="F65" s="16"/>
      <c r="G65" s="93">
        <f t="shared" si="7"/>
        <v>1000000</v>
      </c>
    </row>
    <row r="66" spans="1:7" ht="30">
      <c r="A66" s="354">
        <v>45406</v>
      </c>
      <c r="B66" s="287" t="s">
        <v>628</v>
      </c>
      <c r="C66" s="93">
        <v>1000000</v>
      </c>
      <c r="D66" s="219" t="s">
        <v>1434</v>
      </c>
      <c r="E66" s="219"/>
      <c r="F66" s="16">
        <v>1000000</v>
      </c>
      <c r="G66" s="93">
        <f t="shared" si="7"/>
        <v>0</v>
      </c>
    </row>
    <row r="67" spans="1:7">
      <c r="A67" s="91">
        <v>45407</v>
      </c>
      <c r="B67" s="368" t="s">
        <v>629</v>
      </c>
      <c r="C67" s="93">
        <v>1500000</v>
      </c>
      <c r="D67" s="219"/>
      <c r="E67" s="219"/>
      <c r="F67" s="16"/>
      <c r="G67" s="93">
        <f t="shared" si="7"/>
        <v>1500000</v>
      </c>
    </row>
    <row r="68" spans="1:7">
      <c r="A68" s="91">
        <v>45411</v>
      </c>
      <c r="B68" s="368" t="s">
        <v>638</v>
      </c>
      <c r="C68" s="59">
        <v>1000000</v>
      </c>
      <c r="D68" s="219" t="s">
        <v>1454</v>
      </c>
      <c r="E68" s="219"/>
      <c r="F68" s="16">
        <v>1000000</v>
      </c>
      <c r="G68" s="93">
        <f t="shared" si="7"/>
        <v>0</v>
      </c>
    </row>
    <row r="69" spans="1:7">
      <c r="A69" s="91">
        <v>45409</v>
      </c>
      <c r="B69" s="287" t="s">
        <v>1199</v>
      </c>
      <c r="C69" s="139">
        <v>14720000</v>
      </c>
      <c r="D69" s="219" t="s">
        <v>1435</v>
      </c>
      <c r="E69" s="219"/>
      <c r="F69" s="16">
        <v>14720000</v>
      </c>
      <c r="G69" s="93">
        <f t="shared" si="7"/>
        <v>0</v>
      </c>
    </row>
    <row r="70" spans="1:7">
      <c r="A70" s="91">
        <v>45410</v>
      </c>
      <c r="B70" s="388" t="s">
        <v>1445</v>
      </c>
      <c r="C70" s="139">
        <v>2000000</v>
      </c>
      <c r="D70" s="219" t="s">
        <v>1446</v>
      </c>
      <c r="E70" s="219"/>
      <c r="F70" s="16">
        <v>2000000</v>
      </c>
      <c r="G70" s="93">
        <f t="shared" si="7"/>
        <v>0</v>
      </c>
    </row>
    <row r="71" spans="1:7">
      <c r="A71" s="91">
        <v>45412</v>
      </c>
      <c r="B71" s="287" t="s">
        <v>1195</v>
      </c>
      <c r="C71" s="139">
        <v>1000000</v>
      </c>
      <c r="D71" s="219" t="s">
        <v>1474</v>
      </c>
      <c r="E71" s="219"/>
      <c r="F71" s="16">
        <v>1000000</v>
      </c>
      <c r="G71" s="93">
        <f t="shared" si="7"/>
        <v>0</v>
      </c>
    </row>
    <row r="72" spans="1:7">
      <c r="A72" s="408"/>
      <c r="B72" s="409" t="s">
        <v>270</v>
      </c>
      <c r="C72" s="410">
        <f>SUM(C56:C71)</f>
        <v>44720000</v>
      </c>
      <c r="D72" s="410">
        <f>SUM(D56:D71)</f>
        <v>0</v>
      </c>
      <c r="E72" s="410">
        <f>SUM(E56:E71)</f>
        <v>0</v>
      </c>
      <c r="F72" s="410">
        <f>SUM(F56:F71)</f>
        <v>38220000</v>
      </c>
      <c r="G72" s="410">
        <f>SUM(G56:G71)</f>
        <v>6500000</v>
      </c>
    </row>
    <row r="73" spans="1:7">
      <c r="A73" s="408"/>
      <c r="B73" s="411" t="s">
        <v>644</v>
      </c>
      <c r="C73" s="412">
        <f>C54+C72</f>
        <v>48220000</v>
      </c>
      <c r="D73" s="412">
        <f>D54+D72</f>
        <v>0</v>
      </c>
      <c r="E73" s="412">
        <f>E54+E72</f>
        <v>0</v>
      </c>
      <c r="F73" s="412">
        <f>F54+F72</f>
        <v>41220000</v>
      </c>
      <c r="G73" s="412">
        <f>G54+G72</f>
        <v>7000000</v>
      </c>
    </row>
    <row r="74" spans="1:7">
      <c r="A74" s="408"/>
      <c r="B74" s="411"/>
      <c r="C74" s="412"/>
      <c r="D74" s="412"/>
      <c r="E74" s="412"/>
      <c r="F74" s="412"/>
      <c r="G74" s="412"/>
    </row>
    <row r="75" spans="1:7">
      <c r="A75" s="447" t="s">
        <v>1188</v>
      </c>
      <c r="B75" s="447"/>
      <c r="C75" s="447" t="s">
        <v>58</v>
      </c>
      <c r="D75" s="448" t="s">
        <v>267</v>
      </c>
      <c r="E75" s="449" t="s">
        <v>59</v>
      </c>
      <c r="F75" s="449" t="s">
        <v>60</v>
      </c>
      <c r="G75" s="449" t="s">
        <v>268</v>
      </c>
    </row>
    <row r="76" spans="1:7">
      <c r="A76" s="91">
        <v>45413</v>
      </c>
      <c r="B76" s="287" t="s">
        <v>1189</v>
      </c>
      <c r="C76" s="59">
        <v>1500000</v>
      </c>
      <c r="D76" s="450" t="s">
        <v>1472</v>
      </c>
      <c r="E76" s="219"/>
      <c r="F76" s="16">
        <v>1500000</v>
      </c>
      <c r="G76" s="93">
        <f>C76-E76-F76</f>
        <v>0</v>
      </c>
    </row>
    <row r="77" spans="1:7">
      <c r="A77" s="354">
        <v>45419</v>
      </c>
      <c r="B77" s="287" t="s">
        <v>1190</v>
      </c>
      <c r="C77" s="93">
        <v>1000000</v>
      </c>
      <c r="D77" s="450" t="s">
        <v>1453</v>
      </c>
      <c r="E77" s="219"/>
      <c r="F77" s="16">
        <v>1000000</v>
      </c>
      <c r="G77" s="93">
        <f t="shared" ref="G77:G78" si="8">C77-E77-F77</f>
        <v>0</v>
      </c>
    </row>
    <row r="78" spans="1:7">
      <c r="A78" s="354">
        <v>45419</v>
      </c>
      <c r="B78" s="287" t="s">
        <v>1191</v>
      </c>
      <c r="C78" s="93">
        <v>500000</v>
      </c>
      <c r="D78" s="99"/>
      <c r="E78" s="440"/>
      <c r="F78" s="440"/>
      <c r="G78" s="93">
        <f t="shared" si="8"/>
        <v>500000</v>
      </c>
    </row>
    <row r="79" spans="1:7">
      <c r="A79" s="366">
        <v>45423</v>
      </c>
      <c r="B79" s="287" t="s">
        <v>1192</v>
      </c>
      <c r="C79" s="93">
        <v>500000</v>
      </c>
      <c r="D79" s="142"/>
      <c r="E79" s="36"/>
      <c r="F79" s="42"/>
      <c r="G79" s="93">
        <f>C79-E79-F79</f>
        <v>500000</v>
      </c>
    </row>
    <row r="80" spans="1:7">
      <c r="A80" s="366">
        <v>45423</v>
      </c>
      <c r="B80" s="287" t="s">
        <v>1193</v>
      </c>
      <c r="C80" s="93">
        <v>3000000</v>
      </c>
      <c r="D80" s="142"/>
      <c r="E80" s="36"/>
      <c r="F80" s="42"/>
      <c r="G80" s="93">
        <f>C80-E80-F80</f>
        <v>3000000</v>
      </c>
    </row>
    <row r="81" spans="1:7">
      <c r="A81" s="408"/>
      <c r="B81" s="409" t="s">
        <v>270</v>
      </c>
      <c r="C81" s="410">
        <f>SUM(C76:C80)</f>
        <v>6500000</v>
      </c>
      <c r="D81" s="410">
        <f t="shared" ref="D81:G81" si="9">SUM(D76:D80)</f>
        <v>0</v>
      </c>
      <c r="E81" s="410">
        <f t="shared" si="9"/>
        <v>0</v>
      </c>
      <c r="F81" s="410">
        <f t="shared" si="9"/>
        <v>2500000</v>
      </c>
      <c r="G81" s="410">
        <f t="shared" si="9"/>
        <v>4000000</v>
      </c>
    </row>
    <row r="82" spans="1:7">
      <c r="A82" s="197" t="s">
        <v>1194</v>
      </c>
      <c r="B82" s="197"/>
      <c r="C82" s="197" t="s">
        <v>58</v>
      </c>
      <c r="D82" s="263" t="s">
        <v>267</v>
      </c>
      <c r="E82" s="208" t="s">
        <v>59</v>
      </c>
      <c r="F82" s="208" t="s">
        <v>60</v>
      </c>
      <c r="G82" s="208" t="s">
        <v>268</v>
      </c>
    </row>
    <row r="83" spans="1:7">
      <c r="A83" s="91">
        <v>45414</v>
      </c>
      <c r="B83" s="368" t="s">
        <v>1196</v>
      </c>
      <c r="C83" s="59">
        <v>1000000</v>
      </c>
      <c r="D83" s="475" t="s">
        <v>1437</v>
      </c>
      <c r="E83" s="210"/>
      <c r="F83" s="210">
        <v>1000000</v>
      </c>
      <c r="G83" s="93">
        <f t="shared" ref="G83:G101" si="10">C83-E83-F83</f>
        <v>0</v>
      </c>
    </row>
    <row r="84" spans="1:7" ht="30">
      <c r="A84" s="91">
        <v>45414</v>
      </c>
      <c r="B84" s="287" t="s">
        <v>1197</v>
      </c>
      <c r="C84" s="59">
        <v>1000000</v>
      </c>
      <c r="D84" s="475" t="s">
        <v>1459</v>
      </c>
      <c r="E84" s="211"/>
      <c r="F84" s="210">
        <v>1000000</v>
      </c>
      <c r="G84" s="93">
        <f t="shared" si="10"/>
        <v>0</v>
      </c>
    </row>
    <row r="85" spans="1:7" ht="30">
      <c r="A85" s="354">
        <v>45415</v>
      </c>
      <c r="B85" s="287" t="s">
        <v>1198</v>
      </c>
      <c r="C85" s="59">
        <v>500000</v>
      </c>
      <c r="D85" s="142"/>
      <c r="E85" s="36"/>
      <c r="F85" s="42"/>
      <c r="G85" s="93">
        <f t="shared" si="10"/>
        <v>500000</v>
      </c>
    </row>
    <row r="86" spans="1:7" ht="30">
      <c r="A86" s="354">
        <v>45418</v>
      </c>
      <c r="B86" s="287" t="s">
        <v>1200</v>
      </c>
      <c r="C86" s="93">
        <v>1000000</v>
      </c>
      <c r="D86" s="142" t="s">
        <v>1463</v>
      </c>
      <c r="E86" s="36"/>
      <c r="F86" s="42">
        <v>1000000</v>
      </c>
      <c r="G86" s="93">
        <f t="shared" si="10"/>
        <v>0</v>
      </c>
    </row>
    <row r="87" spans="1:7">
      <c r="A87" s="354">
        <v>45420</v>
      </c>
      <c r="B87" s="287" t="s">
        <v>1201</v>
      </c>
      <c r="C87" s="93">
        <v>2000000</v>
      </c>
      <c r="D87" s="142"/>
      <c r="E87" s="36"/>
      <c r="F87" s="42"/>
      <c r="G87" s="93">
        <f t="shared" si="10"/>
        <v>2000000</v>
      </c>
    </row>
    <row r="88" spans="1:7">
      <c r="A88" s="354">
        <v>45420</v>
      </c>
      <c r="B88" s="287" t="s">
        <v>1202</v>
      </c>
      <c r="C88" s="93">
        <v>2000000</v>
      </c>
      <c r="D88" s="142" t="s">
        <v>1461</v>
      </c>
      <c r="E88" s="36"/>
      <c r="F88" s="42">
        <v>2000000</v>
      </c>
      <c r="G88" s="93">
        <f t="shared" si="10"/>
        <v>0</v>
      </c>
    </row>
    <row r="89" spans="1:7" ht="30">
      <c r="A89" s="354">
        <v>45421</v>
      </c>
      <c r="B89" s="287" t="s">
        <v>1203</v>
      </c>
      <c r="C89" s="93">
        <v>1000000</v>
      </c>
      <c r="D89" s="142" t="s">
        <v>1452</v>
      </c>
      <c r="E89" s="36"/>
      <c r="F89" s="42">
        <v>1000000</v>
      </c>
      <c r="G89" s="93">
        <f t="shared" si="10"/>
        <v>0</v>
      </c>
    </row>
    <row r="90" spans="1:7" ht="30">
      <c r="A90" s="354">
        <v>45421</v>
      </c>
      <c r="B90" s="287" t="s">
        <v>1204</v>
      </c>
      <c r="C90" s="93">
        <v>500000</v>
      </c>
      <c r="D90" s="142"/>
      <c r="E90" s="36"/>
      <c r="F90" s="42"/>
      <c r="G90" s="93">
        <f t="shared" si="10"/>
        <v>500000</v>
      </c>
    </row>
    <row r="91" spans="1:7">
      <c r="A91" s="354">
        <v>45421</v>
      </c>
      <c r="B91" s="287" t="s">
        <v>1205</v>
      </c>
      <c r="C91" s="93">
        <v>500000</v>
      </c>
      <c r="D91" s="142"/>
      <c r="E91" s="36"/>
      <c r="F91" s="42"/>
      <c r="G91" s="93">
        <f t="shared" si="10"/>
        <v>500000</v>
      </c>
    </row>
    <row r="92" spans="1:7">
      <c r="A92" s="91">
        <v>45422</v>
      </c>
      <c r="B92" s="287" t="s">
        <v>1206</v>
      </c>
      <c r="C92" s="93">
        <v>1000000</v>
      </c>
      <c r="D92" s="142"/>
      <c r="E92" s="36"/>
      <c r="F92" s="42"/>
      <c r="G92" s="93">
        <f t="shared" si="10"/>
        <v>1000000</v>
      </c>
    </row>
    <row r="93" spans="1:7" ht="30">
      <c r="A93" s="91">
        <v>45424</v>
      </c>
      <c r="B93" s="287" t="s">
        <v>1207</v>
      </c>
      <c r="C93" s="93">
        <v>1000000</v>
      </c>
      <c r="D93" s="142"/>
      <c r="E93" s="36"/>
      <c r="F93" s="42"/>
      <c r="G93" s="93">
        <f t="shared" si="10"/>
        <v>1000000</v>
      </c>
    </row>
    <row r="94" spans="1:7">
      <c r="A94" s="354">
        <v>45430</v>
      </c>
      <c r="B94" s="287" t="s">
        <v>1208</v>
      </c>
      <c r="C94" s="93">
        <v>2500000</v>
      </c>
      <c r="D94" s="142"/>
      <c r="E94" s="36"/>
      <c r="F94" s="42"/>
      <c r="G94" s="93">
        <f t="shared" si="10"/>
        <v>2500000</v>
      </c>
    </row>
    <row r="95" spans="1:7">
      <c r="A95" s="354">
        <v>45431</v>
      </c>
      <c r="B95" s="287" t="s">
        <v>1209</v>
      </c>
      <c r="C95" s="93">
        <v>500000</v>
      </c>
      <c r="D95" s="142"/>
      <c r="E95" s="36"/>
      <c r="F95" s="42"/>
      <c r="G95" s="93">
        <f t="shared" si="10"/>
        <v>500000</v>
      </c>
    </row>
    <row r="96" spans="1:7">
      <c r="A96" s="354">
        <v>45427</v>
      </c>
      <c r="B96" s="287" t="s">
        <v>1210</v>
      </c>
      <c r="C96" s="93">
        <v>500000</v>
      </c>
      <c r="D96" s="142" t="s">
        <v>1462</v>
      </c>
      <c r="E96" s="36"/>
      <c r="F96" s="42">
        <v>500000</v>
      </c>
      <c r="G96" s="93">
        <f t="shared" si="10"/>
        <v>0</v>
      </c>
    </row>
    <row r="97" spans="1:7">
      <c r="A97" s="91">
        <v>45434</v>
      </c>
      <c r="B97" s="287" t="s">
        <v>1376</v>
      </c>
      <c r="C97" s="93">
        <v>500000</v>
      </c>
      <c r="D97" s="469" t="s">
        <v>1476</v>
      </c>
      <c r="E97" s="469"/>
      <c r="F97" s="469">
        <v>500000</v>
      </c>
      <c r="G97" s="93">
        <f t="shared" si="10"/>
        <v>0</v>
      </c>
    </row>
    <row r="98" spans="1:7">
      <c r="A98" s="91">
        <v>45436</v>
      </c>
      <c r="B98" s="287" t="s">
        <v>1377</v>
      </c>
      <c r="C98" s="139">
        <v>1000000</v>
      </c>
      <c r="D98" s="469"/>
      <c r="E98" s="469"/>
      <c r="F98" s="469"/>
      <c r="G98" s="93">
        <f t="shared" si="10"/>
        <v>1000000</v>
      </c>
    </row>
    <row r="99" spans="1:7">
      <c r="A99" s="91">
        <v>45439</v>
      </c>
      <c r="B99" s="287" t="s">
        <v>1378</v>
      </c>
      <c r="C99" s="139">
        <v>500000</v>
      </c>
      <c r="D99" s="469" t="s">
        <v>1468</v>
      </c>
      <c r="E99" s="469"/>
      <c r="F99" s="469">
        <v>500000</v>
      </c>
      <c r="G99" s="93">
        <f t="shared" si="10"/>
        <v>0</v>
      </c>
    </row>
    <row r="100" spans="1:7">
      <c r="A100" s="91">
        <v>45443</v>
      </c>
      <c r="B100" s="460" t="s">
        <v>1424</v>
      </c>
      <c r="C100" s="139">
        <v>750000</v>
      </c>
      <c r="D100" s="469"/>
      <c r="E100" s="469"/>
      <c r="F100" s="469"/>
      <c r="G100" s="93">
        <f t="shared" si="10"/>
        <v>750000</v>
      </c>
    </row>
    <row r="101" spans="1:7">
      <c r="A101" s="91">
        <v>45427</v>
      </c>
      <c r="B101" s="192" t="s">
        <v>1214</v>
      </c>
      <c r="C101" s="139">
        <v>1000000</v>
      </c>
      <c r="D101" s="469"/>
      <c r="E101" s="469"/>
      <c r="F101" s="469"/>
      <c r="G101" s="93">
        <f t="shared" si="10"/>
        <v>1000000</v>
      </c>
    </row>
    <row r="102" spans="1:7">
      <c r="A102" s="91">
        <v>45440</v>
      </c>
      <c r="B102" s="192" t="s">
        <v>1214</v>
      </c>
      <c r="C102" s="139">
        <v>2000000</v>
      </c>
      <c r="D102" s="469"/>
      <c r="E102" s="469"/>
      <c r="F102" s="469"/>
      <c r="G102" s="93">
        <f>C102-E102-F102</f>
        <v>2000000</v>
      </c>
    </row>
    <row r="103" spans="1:7">
      <c r="A103" s="91">
        <v>45440</v>
      </c>
      <c r="B103" s="192" t="s">
        <v>1214</v>
      </c>
      <c r="C103" s="139">
        <v>7180000</v>
      </c>
      <c r="D103" s="469"/>
      <c r="E103" s="469"/>
      <c r="F103" s="469"/>
      <c r="G103" s="93">
        <f>C103-E103-F103</f>
        <v>7180000</v>
      </c>
    </row>
    <row r="104" spans="1:7">
      <c r="A104" s="408"/>
      <c r="B104" s="411" t="s">
        <v>270</v>
      </c>
      <c r="C104" s="412">
        <f>SUM(C83:C103)</f>
        <v>27930000</v>
      </c>
      <c r="D104" s="412">
        <f>SUM(D83:D103)</f>
        <v>0</v>
      </c>
      <c r="E104" s="412">
        <f>SUM(E83:E103)</f>
        <v>0</v>
      </c>
      <c r="F104" s="412">
        <f>SUM(F83:F103)</f>
        <v>7500000</v>
      </c>
      <c r="G104" s="412">
        <f>SUM(G83:G103)</f>
        <v>20430000</v>
      </c>
    </row>
    <row r="105" spans="1:7">
      <c r="A105" s="408"/>
      <c r="B105" s="411" t="s">
        <v>1477</v>
      </c>
      <c r="C105" s="412">
        <f>C81+C104</f>
        <v>34430000</v>
      </c>
      <c r="D105" s="412">
        <f>D81+D104</f>
        <v>0</v>
      </c>
      <c r="E105" s="412">
        <f>E81+E104</f>
        <v>0</v>
      </c>
      <c r="F105" s="412">
        <f>F81+F104</f>
        <v>10000000</v>
      </c>
      <c r="G105" s="412">
        <f>G81+G104</f>
        <v>24430000</v>
      </c>
    </row>
    <row r="106" spans="1:7">
      <c r="A106" s="408"/>
      <c r="B106" s="411"/>
      <c r="C106" s="412"/>
      <c r="D106" s="412"/>
      <c r="E106" s="412"/>
      <c r="F106" s="412"/>
      <c r="G106" s="412"/>
    </row>
    <row r="107" spans="1:7">
      <c r="B107" s="415" t="s">
        <v>521</v>
      </c>
      <c r="C107" s="416">
        <f>C16+C29+C49+C73+C105</f>
        <v>118510000</v>
      </c>
      <c r="D107" s="416">
        <f>D16+D29+D49+D73+D105</f>
        <v>0</v>
      </c>
      <c r="E107" s="416">
        <f>E16+E29+E49+E73+E105</f>
        <v>0</v>
      </c>
      <c r="F107" s="416">
        <f>F16+F29+F49+F73+F105</f>
        <v>71870000</v>
      </c>
      <c r="G107" s="416">
        <f>G16+G29+G49+G73+G105</f>
        <v>46640000</v>
      </c>
    </row>
    <row r="108" spans="1:7" s="258" customFormat="1">
      <c r="B108" s="423"/>
      <c r="C108" s="2"/>
      <c r="D108" s="2"/>
      <c r="E108" s="2"/>
      <c r="F108" s="2"/>
      <c r="G108" s="2"/>
    </row>
    <row r="109" spans="1:7" ht="18.75">
      <c r="A109" s="194" t="s">
        <v>251</v>
      </c>
      <c r="C109" s="153"/>
    </row>
    <row r="110" spans="1:7">
      <c r="A110" s="197" t="s">
        <v>252</v>
      </c>
      <c r="B110" s="197"/>
      <c r="C110" s="263" t="s">
        <v>58</v>
      </c>
      <c r="D110" s="263" t="s">
        <v>267</v>
      </c>
      <c r="E110" s="208" t="s">
        <v>59</v>
      </c>
      <c r="F110" s="208" t="s">
        <v>60</v>
      </c>
      <c r="G110" s="208" t="s">
        <v>268</v>
      </c>
    </row>
    <row r="111" spans="1:7">
      <c r="A111" s="91">
        <v>45091</v>
      </c>
      <c r="B111" s="295" t="s">
        <v>147</v>
      </c>
      <c r="C111" s="93">
        <v>1000000</v>
      </c>
      <c r="D111" s="203"/>
      <c r="E111" s="295"/>
      <c r="F111" s="295"/>
      <c r="G111" s="48">
        <f>C111-E111-F111</f>
        <v>1000000</v>
      </c>
    </row>
    <row r="112" spans="1:7">
      <c r="A112" s="197" t="s">
        <v>253</v>
      </c>
      <c r="B112" s="197"/>
      <c r="C112" s="263" t="s">
        <v>58</v>
      </c>
      <c r="D112" s="263" t="s">
        <v>267</v>
      </c>
      <c r="E112" s="208" t="s">
        <v>59</v>
      </c>
      <c r="F112" s="208" t="s">
        <v>60</v>
      </c>
      <c r="G112" s="208" t="s">
        <v>268</v>
      </c>
    </row>
    <row r="113" spans="1:7">
      <c r="A113" s="91">
        <v>45081</v>
      </c>
      <c r="B113" s="188" t="s">
        <v>254</v>
      </c>
      <c r="C113" s="195">
        <v>2000000</v>
      </c>
      <c r="D113" s="209"/>
      <c r="E113" s="295"/>
      <c r="F113" s="295"/>
      <c r="G113" s="48">
        <f>C113-E113-F113</f>
        <v>2000000</v>
      </c>
    </row>
    <row r="114" spans="1:7">
      <c r="A114" s="197" t="s">
        <v>255</v>
      </c>
      <c r="B114" s="197"/>
      <c r="C114" s="263" t="s">
        <v>58</v>
      </c>
      <c r="D114" s="263" t="s">
        <v>267</v>
      </c>
      <c r="E114" s="208" t="s">
        <v>59</v>
      </c>
      <c r="F114" s="208" t="s">
        <v>60</v>
      </c>
      <c r="G114" s="208" t="s">
        <v>268</v>
      </c>
    </row>
    <row r="115" spans="1:7">
      <c r="A115" s="196">
        <v>45149</v>
      </c>
      <c r="B115" s="295" t="s">
        <v>155</v>
      </c>
      <c r="C115" s="195">
        <v>5000000</v>
      </c>
      <c r="D115" s="206"/>
      <c r="E115" s="295"/>
      <c r="F115" s="295"/>
      <c r="G115" s="48">
        <f>C115-E115-F115</f>
        <v>5000000</v>
      </c>
    </row>
    <row r="116" spans="1:7">
      <c r="A116" s="196">
        <v>45163</v>
      </c>
      <c r="B116" s="295" t="s">
        <v>156</v>
      </c>
      <c r="C116" s="195">
        <v>1000000</v>
      </c>
      <c r="D116" s="206"/>
      <c r="E116" s="295"/>
      <c r="F116" s="295"/>
      <c r="G116" s="48">
        <f>C116-E116-F116</f>
        <v>1000000</v>
      </c>
    </row>
    <row r="117" spans="1:7">
      <c r="A117" s="197" t="s">
        <v>256</v>
      </c>
      <c r="B117" s="197"/>
      <c r="C117" s="263" t="s">
        <v>58</v>
      </c>
      <c r="D117" s="263" t="s">
        <v>267</v>
      </c>
      <c r="E117" s="208" t="s">
        <v>59</v>
      </c>
      <c r="F117" s="208" t="s">
        <v>60</v>
      </c>
      <c r="G117" s="208" t="s">
        <v>268</v>
      </c>
    </row>
    <row r="118" spans="1:7">
      <c r="A118" s="91">
        <v>45170</v>
      </c>
      <c r="B118" s="295" t="s">
        <v>160</v>
      </c>
      <c r="C118" s="198">
        <v>1000000</v>
      </c>
      <c r="D118" s="207"/>
      <c r="E118" s="295"/>
      <c r="F118" s="295"/>
      <c r="G118" s="48">
        <f t="shared" ref="G118:G126" si="11">C118-E118-F118</f>
        <v>1000000</v>
      </c>
    </row>
    <row r="119" spans="1:7">
      <c r="A119" s="91">
        <v>45173</v>
      </c>
      <c r="B119" s="295" t="s">
        <v>257</v>
      </c>
      <c r="C119" s="198">
        <v>1000000</v>
      </c>
      <c r="D119" s="207"/>
      <c r="E119" s="295"/>
      <c r="F119" s="295"/>
      <c r="G119" s="48">
        <f t="shared" si="11"/>
        <v>1000000</v>
      </c>
    </row>
    <row r="120" spans="1:7">
      <c r="A120" s="91">
        <v>45174</v>
      </c>
      <c r="B120" s="295" t="s">
        <v>162</v>
      </c>
      <c r="C120" s="139">
        <v>1000000</v>
      </c>
      <c r="D120" s="207"/>
      <c r="E120" s="295"/>
      <c r="F120" s="295"/>
      <c r="G120" s="48">
        <f t="shared" si="11"/>
        <v>1000000</v>
      </c>
    </row>
    <row r="121" spans="1:7">
      <c r="A121" s="91">
        <v>45176</v>
      </c>
      <c r="B121" s="295" t="s">
        <v>163</v>
      </c>
      <c r="C121" s="198">
        <v>2000000</v>
      </c>
      <c r="D121" s="207"/>
      <c r="E121" s="295"/>
      <c r="F121" s="295"/>
      <c r="G121" s="48">
        <f t="shared" si="11"/>
        <v>2000000</v>
      </c>
    </row>
    <row r="122" spans="1:7">
      <c r="A122" s="91">
        <v>45181</v>
      </c>
      <c r="B122" s="295" t="s">
        <v>164</v>
      </c>
      <c r="C122" s="139">
        <v>1000000</v>
      </c>
      <c r="D122" s="207"/>
      <c r="E122" s="295"/>
      <c r="F122" s="295"/>
      <c r="G122" s="48">
        <f t="shared" si="11"/>
        <v>1000000</v>
      </c>
    </row>
    <row r="123" spans="1:7">
      <c r="A123" s="91">
        <v>45187</v>
      </c>
      <c r="B123" s="295" t="s">
        <v>167</v>
      </c>
      <c r="C123" s="139">
        <v>2000000</v>
      </c>
      <c r="D123" s="99"/>
      <c r="E123" s="295"/>
      <c r="F123" s="295"/>
      <c r="G123" s="48">
        <f t="shared" si="11"/>
        <v>2000000</v>
      </c>
    </row>
    <row r="124" spans="1:7">
      <c r="A124" s="91">
        <v>45188</v>
      </c>
      <c r="B124" s="295" t="s">
        <v>165</v>
      </c>
      <c r="C124" s="139">
        <v>1000000</v>
      </c>
      <c r="D124" s="203"/>
      <c r="E124" s="295"/>
      <c r="F124" s="295"/>
      <c r="G124" s="48">
        <f t="shared" si="11"/>
        <v>1000000</v>
      </c>
    </row>
    <row r="125" spans="1:7">
      <c r="A125" s="91">
        <v>45192</v>
      </c>
      <c r="B125" s="295" t="s">
        <v>258</v>
      </c>
      <c r="C125" s="139">
        <v>1000000</v>
      </c>
      <c r="D125" s="203"/>
      <c r="E125" s="295"/>
      <c r="F125" s="295"/>
      <c r="G125" s="48">
        <f t="shared" si="11"/>
        <v>1000000</v>
      </c>
    </row>
    <row r="126" spans="1:7">
      <c r="A126" s="91">
        <v>45195</v>
      </c>
      <c r="B126" s="295" t="s">
        <v>168</v>
      </c>
      <c r="C126" s="139">
        <v>1000000</v>
      </c>
      <c r="D126" s="203"/>
      <c r="E126" s="295"/>
      <c r="F126" s="295"/>
      <c r="G126" s="48">
        <f t="shared" si="11"/>
        <v>1000000</v>
      </c>
    </row>
    <row r="127" spans="1:7">
      <c r="A127" s="197" t="s">
        <v>259</v>
      </c>
      <c r="B127" s="197"/>
      <c r="C127" s="263" t="s">
        <v>58</v>
      </c>
      <c r="D127" s="263" t="s">
        <v>267</v>
      </c>
      <c r="E127" s="208" t="s">
        <v>59</v>
      </c>
      <c r="F127" s="208" t="s">
        <v>60</v>
      </c>
      <c r="G127" s="208" t="s">
        <v>268</v>
      </c>
    </row>
    <row r="128" spans="1:7">
      <c r="A128" s="91">
        <v>45210</v>
      </c>
      <c r="B128" s="295" t="s">
        <v>169</v>
      </c>
      <c r="C128" s="93">
        <v>1000000</v>
      </c>
      <c r="D128" s="334"/>
      <c r="E128" s="210"/>
      <c r="F128" s="210"/>
      <c r="G128" s="48">
        <f>C128-E128-F128</f>
        <v>1000000</v>
      </c>
    </row>
    <row r="129" spans="1:7">
      <c r="A129" s="91">
        <v>45211</v>
      </c>
      <c r="B129" s="295" t="s">
        <v>170</v>
      </c>
      <c r="C129" s="93">
        <v>1000000</v>
      </c>
      <c r="D129" s="206"/>
      <c r="E129" s="295"/>
      <c r="F129" s="295"/>
      <c r="G129" s="48">
        <f>C129-E129-F129</f>
        <v>1000000</v>
      </c>
    </row>
    <row r="130" spans="1:7">
      <c r="A130" s="91">
        <v>45216</v>
      </c>
      <c r="B130" s="295" t="s">
        <v>171</v>
      </c>
      <c r="C130" s="93">
        <v>1000000</v>
      </c>
      <c r="D130" s="207"/>
      <c r="E130" s="295"/>
      <c r="F130" s="295"/>
      <c r="G130" s="48">
        <f>C130-E130-F130</f>
        <v>1000000</v>
      </c>
    </row>
    <row r="131" spans="1:7">
      <c r="A131" s="91">
        <v>45226</v>
      </c>
      <c r="B131" s="295" t="s">
        <v>174</v>
      </c>
      <c r="C131" s="93">
        <v>500000</v>
      </c>
      <c r="D131" s="207"/>
      <c r="E131" s="295"/>
      <c r="F131" s="295"/>
      <c r="G131" s="48">
        <f>C131-E131-F131</f>
        <v>500000</v>
      </c>
    </row>
    <row r="132" spans="1:7">
      <c r="A132" s="197" t="s">
        <v>260</v>
      </c>
      <c r="B132" s="197"/>
      <c r="C132" s="263" t="s">
        <v>58</v>
      </c>
      <c r="D132" s="263" t="s">
        <v>267</v>
      </c>
      <c r="E132" s="208" t="s">
        <v>59</v>
      </c>
      <c r="F132" s="208" t="s">
        <v>60</v>
      </c>
      <c r="G132" s="208" t="s">
        <v>268</v>
      </c>
    </row>
    <row r="133" spans="1:7">
      <c r="A133" s="91">
        <v>45216</v>
      </c>
      <c r="B133" s="199" t="s">
        <v>172</v>
      </c>
      <c r="C133" s="139">
        <v>2000000</v>
      </c>
      <c r="D133" s="207"/>
      <c r="E133" s="295"/>
      <c r="F133" s="295"/>
      <c r="G133" s="48">
        <f>C133-E133-F133</f>
        <v>2000000</v>
      </c>
    </row>
    <row r="134" spans="1:7">
      <c r="A134" s="91">
        <v>45225</v>
      </c>
      <c r="B134" s="201" t="s">
        <v>175</v>
      </c>
      <c r="C134" s="139">
        <v>1500000</v>
      </c>
      <c r="D134" s="203"/>
      <c r="E134" s="295"/>
      <c r="F134" s="295"/>
      <c r="G134" s="48">
        <f>C134-E134-F134</f>
        <v>1500000</v>
      </c>
    </row>
    <row r="135" spans="1:7">
      <c r="A135" s="91">
        <v>45226</v>
      </c>
      <c r="B135" s="295" t="s">
        <v>173</v>
      </c>
      <c r="C135" s="139">
        <v>1000000</v>
      </c>
      <c r="D135" s="203"/>
      <c r="E135" s="295"/>
      <c r="F135" s="295"/>
      <c r="G135" s="48">
        <f>C135-E135-F135</f>
        <v>1000000</v>
      </c>
    </row>
    <row r="136" spans="1:7">
      <c r="A136" s="91">
        <v>45227</v>
      </c>
      <c r="B136" s="295" t="s">
        <v>176</v>
      </c>
      <c r="C136" s="139">
        <v>1000000</v>
      </c>
      <c r="D136" s="203"/>
      <c r="E136" s="295"/>
      <c r="F136" s="295"/>
      <c r="G136" s="48">
        <f>C136-E136-F136</f>
        <v>1000000</v>
      </c>
    </row>
    <row r="137" spans="1:7">
      <c r="A137" s="91">
        <v>45228</v>
      </c>
      <c r="B137" s="201" t="s">
        <v>177</v>
      </c>
      <c r="C137" s="139">
        <v>1000000</v>
      </c>
      <c r="D137" s="210"/>
      <c r="E137" s="295"/>
      <c r="F137" s="295"/>
      <c r="G137" s="48">
        <f>C137-E137-F137</f>
        <v>1000000</v>
      </c>
    </row>
    <row r="138" spans="1:7">
      <c r="A138" s="197" t="s">
        <v>261</v>
      </c>
      <c r="B138" s="197"/>
      <c r="C138" s="263" t="s">
        <v>58</v>
      </c>
      <c r="D138" s="263" t="s">
        <v>267</v>
      </c>
      <c r="E138" s="208" t="s">
        <v>59</v>
      </c>
      <c r="F138" s="208" t="s">
        <v>60</v>
      </c>
      <c r="G138" s="208" t="s">
        <v>268</v>
      </c>
    </row>
    <row r="139" spans="1:7">
      <c r="A139" s="91">
        <v>45241</v>
      </c>
      <c r="B139" s="295" t="s">
        <v>185</v>
      </c>
      <c r="C139" s="93">
        <v>500000</v>
      </c>
      <c r="D139" s="206"/>
      <c r="E139" s="295"/>
      <c r="F139" s="295"/>
      <c r="G139" s="48">
        <f>C139-E139-F139</f>
        <v>500000</v>
      </c>
    </row>
    <row r="140" spans="1:7">
      <c r="A140" s="91">
        <v>45260</v>
      </c>
      <c r="B140" s="295" t="s">
        <v>196</v>
      </c>
      <c r="C140" s="59">
        <v>500000</v>
      </c>
      <c r="D140" s="206"/>
      <c r="E140" s="295"/>
      <c r="F140" s="295"/>
      <c r="G140" s="48">
        <f>C140-E140-F140</f>
        <v>500000</v>
      </c>
    </row>
    <row r="141" spans="1:7">
      <c r="A141" s="197" t="s">
        <v>262</v>
      </c>
      <c r="B141" s="197"/>
      <c r="C141" s="263" t="s">
        <v>58</v>
      </c>
      <c r="D141" s="263" t="s">
        <v>267</v>
      </c>
      <c r="E141" s="208" t="s">
        <v>59</v>
      </c>
      <c r="F141" s="208" t="s">
        <v>60</v>
      </c>
      <c r="G141" s="208" t="s">
        <v>268</v>
      </c>
    </row>
    <row r="142" spans="1:7">
      <c r="A142" s="91">
        <v>45232</v>
      </c>
      <c r="B142" s="295" t="s">
        <v>179</v>
      </c>
      <c r="C142" s="198">
        <v>3000000</v>
      </c>
      <c r="D142" s="207"/>
      <c r="E142" s="295"/>
      <c r="F142" s="295"/>
      <c r="G142" s="48">
        <f t="shared" ref="G142:G156" si="12">C142-E142-F142</f>
        <v>3000000</v>
      </c>
    </row>
    <row r="143" spans="1:7">
      <c r="A143" s="91">
        <v>45233</v>
      </c>
      <c r="B143" s="295" t="s">
        <v>180</v>
      </c>
      <c r="C143" s="198">
        <v>1000000</v>
      </c>
      <c r="D143" s="207"/>
      <c r="E143" s="295"/>
      <c r="F143" s="295"/>
      <c r="G143" s="48">
        <f t="shared" si="12"/>
        <v>1000000</v>
      </c>
    </row>
    <row r="144" spans="1:7">
      <c r="A144" s="91">
        <v>45234</v>
      </c>
      <c r="B144" s="295" t="s">
        <v>181</v>
      </c>
      <c r="C144" s="198">
        <v>1000000</v>
      </c>
      <c r="D144" s="207"/>
      <c r="E144" s="295"/>
      <c r="F144" s="295"/>
      <c r="G144" s="48">
        <f t="shared" si="12"/>
        <v>1000000</v>
      </c>
    </row>
    <row r="145" spans="1:7">
      <c r="A145" s="91">
        <v>45236</v>
      </c>
      <c r="B145" s="295" t="s">
        <v>182</v>
      </c>
      <c r="C145" s="139">
        <v>1000000</v>
      </c>
      <c r="D145" s="207"/>
      <c r="E145" s="295"/>
      <c r="F145" s="295"/>
      <c r="G145" s="48">
        <f t="shared" si="12"/>
        <v>1000000</v>
      </c>
    </row>
    <row r="146" spans="1:7">
      <c r="A146" s="91">
        <v>45237</v>
      </c>
      <c r="B146" s="295" t="s">
        <v>187</v>
      </c>
      <c r="C146" s="139">
        <v>1000000</v>
      </c>
      <c r="D146" s="207"/>
      <c r="E146" s="295"/>
      <c r="F146" s="295"/>
      <c r="G146" s="48">
        <f t="shared" si="12"/>
        <v>1000000</v>
      </c>
    </row>
    <row r="147" spans="1:7">
      <c r="A147" s="91">
        <v>45238</v>
      </c>
      <c r="B147" s="294" t="s">
        <v>183</v>
      </c>
      <c r="C147" s="139">
        <v>500000</v>
      </c>
      <c r="D147" s="207"/>
      <c r="E147" s="295"/>
      <c r="F147" s="295"/>
      <c r="G147" s="48">
        <f t="shared" si="12"/>
        <v>500000</v>
      </c>
    </row>
    <row r="148" spans="1:7">
      <c r="A148" s="91">
        <v>45240</v>
      </c>
      <c r="B148" s="295" t="s">
        <v>184</v>
      </c>
      <c r="C148" s="139">
        <v>1000000</v>
      </c>
      <c r="D148" s="207"/>
      <c r="E148" s="295"/>
      <c r="F148" s="295"/>
      <c r="G148" s="48">
        <f t="shared" si="12"/>
        <v>1000000</v>
      </c>
    </row>
    <row r="149" spans="1:7">
      <c r="A149" s="91">
        <v>45244</v>
      </c>
      <c r="B149" s="295" t="s">
        <v>189</v>
      </c>
      <c r="C149" s="139">
        <v>750000</v>
      </c>
      <c r="D149" s="207"/>
      <c r="E149" s="295"/>
      <c r="F149" s="295"/>
      <c r="G149" s="48">
        <f t="shared" si="12"/>
        <v>750000</v>
      </c>
    </row>
    <row r="150" spans="1:7">
      <c r="A150" s="91">
        <v>45244</v>
      </c>
      <c r="B150" s="295" t="s">
        <v>193</v>
      </c>
      <c r="C150" s="139">
        <v>1000000</v>
      </c>
      <c r="D150" s="207"/>
      <c r="E150" s="295"/>
      <c r="F150" s="295"/>
      <c r="G150" s="48">
        <f t="shared" si="12"/>
        <v>1000000</v>
      </c>
    </row>
    <row r="151" spans="1:7">
      <c r="A151" s="91">
        <v>45245</v>
      </c>
      <c r="B151" s="295" t="s">
        <v>186</v>
      </c>
      <c r="C151" s="139">
        <v>500000</v>
      </c>
      <c r="D151" s="207"/>
      <c r="E151" s="295"/>
      <c r="F151" s="115"/>
      <c r="G151" s="48">
        <f t="shared" si="12"/>
        <v>500000</v>
      </c>
    </row>
    <row r="152" spans="1:7">
      <c r="A152" s="91">
        <v>45251</v>
      </c>
      <c r="B152" s="295" t="s">
        <v>208</v>
      </c>
      <c r="C152" s="139">
        <v>500000</v>
      </c>
      <c r="D152" s="210"/>
      <c r="E152" s="295"/>
      <c r="F152" s="295"/>
      <c r="G152" s="48">
        <f t="shared" si="12"/>
        <v>500000</v>
      </c>
    </row>
    <row r="153" spans="1:7">
      <c r="A153" s="91">
        <v>45254</v>
      </c>
      <c r="B153" s="201" t="s">
        <v>190</v>
      </c>
      <c r="C153" s="139">
        <v>1000000</v>
      </c>
      <c r="D153" s="334"/>
      <c r="E153" s="210"/>
      <c r="F153" s="210"/>
      <c r="G153" s="48">
        <f t="shared" si="12"/>
        <v>1000000</v>
      </c>
    </row>
    <row r="154" spans="1:7">
      <c r="A154" s="91">
        <v>45255</v>
      </c>
      <c r="B154" s="295" t="s">
        <v>191</v>
      </c>
      <c r="C154" s="139">
        <v>1000000</v>
      </c>
      <c r="D154" s="35" t="s">
        <v>1436</v>
      </c>
      <c r="E154" s="295"/>
      <c r="F154" s="295">
        <v>1000000</v>
      </c>
      <c r="G154" s="48">
        <f t="shared" si="12"/>
        <v>0</v>
      </c>
    </row>
    <row r="155" spans="1:7">
      <c r="A155" s="91">
        <v>45255</v>
      </c>
      <c r="B155" s="295" t="s">
        <v>192</v>
      </c>
      <c r="C155" s="139">
        <v>1000000</v>
      </c>
      <c r="D155" s="35"/>
      <c r="E155" s="295"/>
      <c r="F155" s="295"/>
      <c r="G155" s="48">
        <f t="shared" si="12"/>
        <v>1000000</v>
      </c>
    </row>
    <row r="156" spans="1:7">
      <c r="A156" s="91">
        <v>45260</v>
      </c>
      <c r="B156" s="201" t="s">
        <v>195</v>
      </c>
      <c r="C156" s="59">
        <v>200000</v>
      </c>
      <c r="D156" s="35"/>
      <c r="E156" s="295"/>
      <c r="F156" s="295"/>
      <c r="G156" s="48">
        <f t="shared" si="12"/>
        <v>200000</v>
      </c>
    </row>
    <row r="157" spans="1:7">
      <c r="A157" s="197" t="s">
        <v>263</v>
      </c>
      <c r="B157" s="197"/>
      <c r="C157" s="263" t="s">
        <v>58</v>
      </c>
      <c r="D157" s="263" t="s">
        <v>267</v>
      </c>
      <c r="E157" s="208" t="s">
        <v>59</v>
      </c>
      <c r="F157" s="208" t="s">
        <v>60</v>
      </c>
      <c r="G157" s="208" t="s">
        <v>268</v>
      </c>
    </row>
    <row r="158" spans="1:7">
      <c r="A158" s="91">
        <v>45262</v>
      </c>
      <c r="B158" s="295" t="s">
        <v>197</v>
      </c>
      <c r="C158" s="200">
        <v>1000000</v>
      </c>
      <c r="D158" s="203"/>
      <c r="E158" s="295"/>
      <c r="F158" s="295"/>
      <c r="G158" s="48">
        <f>C158-E158-F158</f>
        <v>1000000</v>
      </c>
    </row>
    <row r="159" spans="1:7">
      <c r="A159" s="91">
        <v>45264</v>
      </c>
      <c r="B159" s="295" t="s">
        <v>198</v>
      </c>
      <c r="C159" s="200">
        <v>2000000</v>
      </c>
      <c r="D159" s="203"/>
      <c r="E159" s="295"/>
      <c r="F159" s="295"/>
      <c r="G159" s="48">
        <f>C159-E159-F159</f>
        <v>2000000</v>
      </c>
    </row>
    <row r="160" spans="1:7">
      <c r="A160" s="91">
        <v>45266</v>
      </c>
      <c r="B160" s="295" t="s">
        <v>201</v>
      </c>
      <c r="C160" s="200">
        <v>1000000</v>
      </c>
      <c r="D160" s="99"/>
      <c r="E160" s="295"/>
      <c r="F160" s="295"/>
      <c r="G160" s="48">
        <f>C160-E160-F160</f>
        <v>1000000</v>
      </c>
    </row>
    <row r="161" spans="1:7">
      <c r="A161" s="91">
        <v>45277</v>
      </c>
      <c r="B161" s="295" t="s">
        <v>214</v>
      </c>
      <c r="C161" s="93">
        <v>1000000</v>
      </c>
      <c r="D161" s="206" t="s">
        <v>1438</v>
      </c>
      <c r="E161" s="295"/>
      <c r="F161" s="295">
        <v>1000000</v>
      </c>
      <c r="G161" s="48">
        <f>C161-E161-F161</f>
        <v>0</v>
      </c>
    </row>
    <row r="162" spans="1:7">
      <c r="A162" s="91">
        <v>45285</v>
      </c>
      <c r="B162" s="295" t="s">
        <v>217</v>
      </c>
      <c r="C162" s="93">
        <v>250000</v>
      </c>
      <c r="D162" s="206"/>
      <c r="E162" s="295"/>
      <c r="F162" s="295"/>
      <c r="G162" s="48">
        <f>C162-E162-F162</f>
        <v>250000</v>
      </c>
    </row>
    <row r="163" spans="1:7">
      <c r="A163" s="197" t="s">
        <v>264</v>
      </c>
      <c r="B163" s="197"/>
      <c r="C163" s="263" t="s">
        <v>58</v>
      </c>
      <c r="D163" s="263" t="s">
        <v>267</v>
      </c>
      <c r="E163" s="208" t="s">
        <v>59</v>
      </c>
      <c r="F163" s="208" t="s">
        <v>60</v>
      </c>
      <c r="G163" s="208" t="s">
        <v>268</v>
      </c>
    </row>
    <row r="164" spans="1:7">
      <c r="A164" s="91">
        <v>45261</v>
      </c>
      <c r="B164" s="295" t="s">
        <v>199</v>
      </c>
      <c r="C164" s="198">
        <v>1000000</v>
      </c>
      <c r="D164" s="206"/>
      <c r="E164" s="295"/>
      <c r="F164" s="295"/>
      <c r="G164" s="48">
        <f t="shared" ref="G164:G175" si="13">C164-E164-F164</f>
        <v>1000000</v>
      </c>
    </row>
    <row r="165" spans="1:7">
      <c r="A165" s="91">
        <v>45265</v>
      </c>
      <c r="B165" s="295" t="s">
        <v>200</v>
      </c>
      <c r="C165" s="198">
        <v>2000000</v>
      </c>
      <c r="D165" s="206"/>
      <c r="E165" s="295"/>
      <c r="F165" s="295"/>
      <c r="G165" s="48">
        <f t="shared" si="13"/>
        <v>2000000</v>
      </c>
    </row>
    <row r="166" spans="1:7">
      <c r="A166" s="91">
        <v>45269</v>
      </c>
      <c r="B166" s="295" t="s">
        <v>207</v>
      </c>
      <c r="C166" s="139">
        <v>1000000</v>
      </c>
      <c r="D166" s="206" t="s">
        <v>1440</v>
      </c>
      <c r="E166" s="295"/>
      <c r="F166" s="295">
        <v>1000000</v>
      </c>
      <c r="G166" s="48">
        <f t="shared" si="13"/>
        <v>0</v>
      </c>
    </row>
    <row r="167" spans="1:7">
      <c r="A167" s="91">
        <v>45269</v>
      </c>
      <c r="B167" s="295" t="s">
        <v>209</v>
      </c>
      <c r="C167" s="139">
        <v>1000000</v>
      </c>
      <c r="D167" s="206" t="s">
        <v>1441</v>
      </c>
      <c r="E167" s="295"/>
      <c r="F167" s="295">
        <v>1000000</v>
      </c>
      <c r="G167" s="48">
        <f t="shared" si="13"/>
        <v>0</v>
      </c>
    </row>
    <row r="168" spans="1:7">
      <c r="A168" s="91">
        <v>45270</v>
      </c>
      <c r="B168" s="295" t="s">
        <v>210</v>
      </c>
      <c r="C168" s="139">
        <v>3000000</v>
      </c>
      <c r="D168" s="207"/>
      <c r="E168" s="295"/>
      <c r="F168" s="295"/>
      <c r="G168" s="48">
        <f t="shared" si="13"/>
        <v>3000000</v>
      </c>
    </row>
    <row r="169" spans="1:7">
      <c r="A169" s="91">
        <v>45271</v>
      </c>
      <c r="B169" s="295" t="s">
        <v>211</v>
      </c>
      <c r="C169" s="198">
        <v>5000000</v>
      </c>
      <c r="D169" s="207"/>
      <c r="E169" s="295"/>
      <c r="F169" s="295"/>
      <c r="G169" s="48">
        <f t="shared" si="13"/>
        <v>5000000</v>
      </c>
    </row>
    <row r="170" spans="1:7">
      <c r="A170" s="91">
        <v>45271</v>
      </c>
      <c r="B170" s="295" t="s">
        <v>212</v>
      </c>
      <c r="C170" s="198">
        <v>1000000</v>
      </c>
      <c r="D170" s="207" t="s">
        <v>1471</v>
      </c>
      <c r="E170" s="295"/>
      <c r="F170" s="295">
        <v>1000000</v>
      </c>
      <c r="G170" s="48">
        <f t="shared" si="13"/>
        <v>0</v>
      </c>
    </row>
    <row r="171" spans="1:7">
      <c r="A171" s="91">
        <v>45273</v>
      </c>
      <c r="B171" s="295" t="s">
        <v>213</v>
      </c>
      <c r="C171" s="139">
        <v>1000000</v>
      </c>
      <c r="D171" s="207"/>
      <c r="E171" s="295"/>
      <c r="F171" s="295"/>
      <c r="G171" s="48">
        <f t="shared" si="13"/>
        <v>1000000</v>
      </c>
    </row>
    <row r="172" spans="1:7">
      <c r="A172" s="91">
        <v>45275</v>
      </c>
      <c r="B172" s="295" t="s">
        <v>215</v>
      </c>
      <c r="C172" s="139">
        <v>200000</v>
      </c>
      <c r="D172" s="207"/>
      <c r="E172" s="295"/>
      <c r="F172" s="295"/>
      <c r="G172" s="48">
        <f t="shared" si="13"/>
        <v>200000</v>
      </c>
    </row>
    <row r="173" spans="1:7">
      <c r="A173" s="91">
        <v>45281</v>
      </c>
      <c r="B173" s="295" t="s">
        <v>216</v>
      </c>
      <c r="C173" s="139">
        <v>1000000</v>
      </c>
      <c r="D173" s="207"/>
      <c r="E173" s="295"/>
      <c r="F173" s="295"/>
      <c r="G173" s="48">
        <f t="shared" si="13"/>
        <v>1000000</v>
      </c>
    </row>
    <row r="174" spans="1:7" ht="20.100000000000001" customHeight="1">
      <c r="A174" s="91">
        <v>45287</v>
      </c>
      <c r="B174" s="294" t="s">
        <v>229</v>
      </c>
      <c r="C174" s="139">
        <v>165000</v>
      </c>
      <c r="D174" s="207"/>
      <c r="E174" s="295"/>
      <c r="F174" s="295"/>
      <c r="G174" s="48">
        <f t="shared" si="13"/>
        <v>165000</v>
      </c>
    </row>
    <row r="175" spans="1:7">
      <c r="A175" s="91">
        <v>45291</v>
      </c>
      <c r="B175" s="295" t="s">
        <v>231</v>
      </c>
      <c r="C175" s="139">
        <v>1000000</v>
      </c>
      <c r="D175" s="99"/>
      <c r="E175" s="295"/>
      <c r="F175" s="295"/>
      <c r="G175" s="48">
        <f t="shared" si="13"/>
        <v>1000000</v>
      </c>
    </row>
    <row r="176" spans="1:7" ht="20.100000000000001" customHeight="1">
      <c r="A176" s="21"/>
      <c r="B176" s="202" t="s">
        <v>265</v>
      </c>
      <c r="C176" s="152">
        <f>SUM(C111:C175)</f>
        <v>68065000</v>
      </c>
      <c r="D176" s="152">
        <f>SUM(D111:D175)</f>
        <v>0</v>
      </c>
      <c r="E176" s="152">
        <f>SUM(E111:E175)</f>
        <v>0</v>
      </c>
      <c r="F176" s="152">
        <f>SUM(F111:F175)</f>
        <v>5000000</v>
      </c>
      <c r="G176" s="152">
        <f>SUM(G111:G175)</f>
        <v>63065000</v>
      </c>
    </row>
    <row r="178" spans="2:7">
      <c r="B178" s="413" t="s">
        <v>485</v>
      </c>
      <c r="C178" s="414">
        <f>C107+C176</f>
        <v>186575000</v>
      </c>
      <c r="D178" s="414">
        <f>D107+D176</f>
        <v>0</v>
      </c>
      <c r="E178" s="414">
        <f>E107+E176</f>
        <v>0</v>
      </c>
      <c r="F178" s="414">
        <f>F107+F176</f>
        <v>76870000</v>
      </c>
      <c r="G178" s="414">
        <f>G107+G176</f>
        <v>109705000</v>
      </c>
    </row>
    <row r="180" spans="2:7">
      <c r="F180" s="19"/>
    </row>
    <row r="181" spans="2:7">
      <c r="E181" s="21"/>
    </row>
    <row r="182" spans="2:7">
      <c r="C182" s="19"/>
    </row>
    <row r="186" spans="2:7" ht="20.100000000000001" customHeight="1">
      <c r="F186" s="19"/>
    </row>
    <row r="228" spans="1:7">
      <c r="D228" s="263" t="s">
        <v>267</v>
      </c>
      <c r="E228" s="208" t="s">
        <v>59</v>
      </c>
      <c r="F228" s="208" t="s">
        <v>60</v>
      </c>
      <c r="G228" s="208" t="s">
        <v>268</v>
      </c>
    </row>
    <row r="230" spans="1:7">
      <c r="A230" s="197" t="s">
        <v>483</v>
      </c>
      <c r="B230" s="197"/>
      <c r="C230" s="197" t="s">
        <v>58</v>
      </c>
    </row>
    <row r="244" spans="1:7">
      <c r="D244" s="263" t="s">
        <v>267</v>
      </c>
      <c r="E244" s="208" t="s">
        <v>59</v>
      </c>
      <c r="F244" s="208" t="s">
        <v>60</v>
      </c>
      <c r="G244" s="208" t="s">
        <v>268</v>
      </c>
    </row>
    <row r="246" spans="1:7">
      <c r="A246" s="197" t="s">
        <v>484</v>
      </c>
      <c r="B246" s="197"/>
      <c r="C246" s="197" t="s">
        <v>58</v>
      </c>
    </row>
  </sheetData>
  <hyperlinks>
    <hyperlink ref="B133" r:id="rId1" display="http://an.al/"/>
  </hyperlinks>
  <pageMargins left="0.7" right="0.7" top="0.75" bottom="0.75" header="0.3" footer="0.3"/>
  <pageSetup paperSize="9" scale="5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6"/>
  <sheetViews>
    <sheetView zoomScale="82" zoomScaleNormal="82" workbookViewId="0">
      <pane ySplit="3" topLeftCell="A53" activePane="bottomLeft" state="frozen"/>
      <selection pane="bottomLeft" activeCell="F63" sqref="F63"/>
    </sheetView>
  </sheetViews>
  <sheetFormatPr defaultRowHeight="15"/>
  <cols>
    <col min="1" max="1" width="10.7109375" customWidth="1"/>
    <col min="2" max="2" width="73.140625" customWidth="1"/>
    <col min="3" max="3" width="15.7109375" style="126" customWidth="1"/>
    <col min="4" max="5" width="16.28515625" customWidth="1"/>
    <col min="6" max="6" width="12.7109375" style="22" customWidth="1"/>
    <col min="7" max="7" width="12.85546875" style="22" customWidth="1"/>
    <col min="8" max="8" width="14.5703125" style="22" customWidth="1"/>
    <col min="9" max="9" width="13.42578125" style="22" customWidth="1"/>
    <col min="10" max="10" width="12.7109375" style="22" customWidth="1"/>
    <col min="11" max="11" width="14.28515625" style="22" customWidth="1"/>
    <col min="12" max="13" width="14" style="22" customWidth="1"/>
    <col min="14" max="15" width="14" style="22" hidden="1" customWidth="1"/>
    <col min="16" max="16" width="12.140625" style="22" hidden="1" customWidth="1"/>
    <col min="17" max="17" width="14.42578125" style="22" hidden="1" customWidth="1"/>
    <col min="18" max="18" width="12" style="22" hidden="1" customWidth="1"/>
    <col min="19" max="19" width="11.140625" style="22" customWidth="1"/>
    <col min="20" max="20" width="16.140625" customWidth="1"/>
    <col min="21" max="22" width="9.140625" customWidth="1"/>
  </cols>
  <sheetData>
    <row r="1" spans="1:21" s="109" customFormat="1" ht="25.5">
      <c r="A1" s="108" t="s">
        <v>38</v>
      </c>
      <c r="B1" s="108" t="s">
        <v>5</v>
      </c>
      <c r="C1" s="127" t="s">
        <v>6</v>
      </c>
      <c r="D1" s="92" t="s">
        <v>43</v>
      </c>
      <c r="E1" s="92" t="s">
        <v>650</v>
      </c>
      <c r="F1" s="193" t="s">
        <v>473</v>
      </c>
      <c r="G1" s="127" t="s">
        <v>250</v>
      </c>
      <c r="H1" s="128" t="s">
        <v>52</v>
      </c>
      <c r="I1" s="127" t="s">
        <v>51</v>
      </c>
      <c r="J1" s="127" t="s">
        <v>109</v>
      </c>
      <c r="K1" s="127" t="s">
        <v>53</v>
      </c>
      <c r="L1" s="127" t="s">
        <v>108</v>
      </c>
      <c r="M1" s="127" t="s">
        <v>142</v>
      </c>
      <c r="N1" s="127" t="s">
        <v>144</v>
      </c>
      <c r="O1" s="193" t="s">
        <v>205</v>
      </c>
      <c r="P1" s="193" t="s">
        <v>206</v>
      </c>
      <c r="Q1" s="127" t="s">
        <v>24</v>
      </c>
      <c r="R1" s="127" t="s">
        <v>248</v>
      </c>
      <c r="S1" s="193" t="s">
        <v>621</v>
      </c>
    </row>
    <row r="2" spans="1:21" s="34" customFormat="1">
      <c r="A2" s="529" t="s">
        <v>11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</row>
    <row r="3" spans="1:21" s="11" customFormat="1">
      <c r="A3" s="161"/>
      <c r="B3" s="161" t="s">
        <v>44</v>
      </c>
      <c r="C3" s="161"/>
      <c r="D3" s="189">
        <v>308522548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90"/>
      <c r="R3" s="190"/>
      <c r="S3" s="190"/>
      <c r="T3" s="21"/>
      <c r="U3" s="21"/>
    </row>
    <row r="4" spans="1:21" s="65" customFormat="1">
      <c r="A4" s="91">
        <v>45413</v>
      </c>
      <c r="B4" s="72" t="s">
        <v>870</v>
      </c>
      <c r="C4" s="139">
        <v>1400000</v>
      </c>
      <c r="D4" s="136">
        <f t="shared" ref="D4:D54" si="0">SUM(D3,C4)</f>
        <v>309922548</v>
      </c>
      <c r="E4" s="137"/>
      <c r="F4" s="137"/>
      <c r="G4" s="137"/>
      <c r="H4" s="137"/>
      <c r="I4" s="137"/>
      <c r="J4" s="137"/>
      <c r="K4" s="137"/>
      <c r="L4" s="137">
        <f>C4</f>
        <v>1400000</v>
      </c>
      <c r="M4" s="137"/>
      <c r="N4" s="137"/>
      <c r="O4" s="137"/>
      <c r="P4" s="137"/>
      <c r="Q4" s="140"/>
      <c r="R4" s="140"/>
      <c r="S4" s="140"/>
      <c r="T4" s="275">
        <f>C4-E4-F4-G4-H4-I4-J4-K4-L4-M4-S3:S4</f>
        <v>0</v>
      </c>
      <c r="U4" s="134"/>
    </row>
    <row r="5" spans="1:21" s="65" customFormat="1">
      <c r="A5" s="91">
        <v>45414</v>
      </c>
      <c r="B5" s="368" t="s">
        <v>1196</v>
      </c>
      <c r="C5" s="139">
        <v>1000000</v>
      </c>
      <c r="D5" s="136">
        <f t="shared" si="0"/>
        <v>310922548</v>
      </c>
      <c r="E5" s="136"/>
      <c r="F5" s="136"/>
      <c r="G5" s="136"/>
      <c r="H5" s="136"/>
      <c r="I5" s="136"/>
      <c r="J5" s="136"/>
      <c r="K5" s="136">
        <f>C5</f>
        <v>1000000</v>
      </c>
      <c r="L5" s="136"/>
      <c r="M5" s="136"/>
      <c r="N5" s="136"/>
      <c r="O5" s="136"/>
      <c r="P5" s="136"/>
      <c r="Q5" s="136"/>
      <c r="R5" s="136"/>
      <c r="S5" s="136"/>
      <c r="T5" s="275">
        <f t="shared" ref="T5:T54" si="1">C5-E5-F5-G5-H5-I5-J5-K5-L5-M5-S4:S5</f>
        <v>0</v>
      </c>
      <c r="U5" s="134"/>
    </row>
    <row r="6" spans="1:21" s="65" customFormat="1">
      <c r="A6" s="91">
        <v>45414</v>
      </c>
      <c r="B6" s="368" t="s">
        <v>1211</v>
      </c>
      <c r="C6" s="139">
        <v>1000000</v>
      </c>
      <c r="D6" s="136">
        <f t="shared" si="0"/>
        <v>311922548</v>
      </c>
      <c r="E6" s="137"/>
      <c r="F6" s="137"/>
      <c r="G6" s="137"/>
      <c r="H6" s="137"/>
      <c r="I6" s="137"/>
      <c r="J6" s="137"/>
      <c r="K6" s="136">
        <f>C6</f>
        <v>1000000</v>
      </c>
      <c r="L6" s="137"/>
      <c r="M6" s="137"/>
      <c r="N6" s="137"/>
      <c r="O6" s="137"/>
      <c r="P6" s="137"/>
      <c r="Q6" s="140"/>
      <c r="R6" s="140"/>
      <c r="S6" s="140"/>
      <c r="T6" s="275">
        <f t="shared" si="1"/>
        <v>0</v>
      </c>
      <c r="U6" s="134"/>
    </row>
    <row r="7" spans="1:21" s="65" customFormat="1">
      <c r="A7" s="91">
        <v>45415</v>
      </c>
      <c r="B7" s="368" t="s">
        <v>52</v>
      </c>
      <c r="C7" s="139">
        <v>228665</v>
      </c>
      <c r="D7" s="136">
        <f t="shared" si="0"/>
        <v>312151213</v>
      </c>
      <c r="E7" s="137"/>
      <c r="F7" s="137"/>
      <c r="G7" s="137"/>
      <c r="H7" s="137">
        <f>C7</f>
        <v>228665</v>
      </c>
      <c r="I7" s="137"/>
      <c r="J7" s="137"/>
      <c r="K7" s="136"/>
      <c r="L7" s="137"/>
      <c r="M7" s="137"/>
      <c r="N7" s="137"/>
      <c r="O7" s="137"/>
      <c r="P7" s="137"/>
      <c r="Q7" s="140"/>
      <c r="R7" s="140"/>
      <c r="S7" s="140"/>
      <c r="T7" s="275">
        <f t="shared" si="1"/>
        <v>0</v>
      </c>
      <c r="U7" s="134"/>
    </row>
    <row r="8" spans="1:21" s="65" customFormat="1" ht="30">
      <c r="A8" s="91">
        <v>45415</v>
      </c>
      <c r="B8" s="287" t="s">
        <v>1198</v>
      </c>
      <c r="C8" s="139">
        <v>500000</v>
      </c>
      <c r="D8" s="136">
        <f t="shared" si="0"/>
        <v>312651213</v>
      </c>
      <c r="E8" s="137"/>
      <c r="F8" s="137"/>
      <c r="G8" s="137"/>
      <c r="H8" s="137"/>
      <c r="I8" s="137"/>
      <c r="J8" s="137"/>
      <c r="K8" s="136">
        <f>C8</f>
        <v>500000</v>
      </c>
      <c r="L8" s="137"/>
      <c r="M8" s="137"/>
      <c r="N8" s="137"/>
      <c r="O8" s="137"/>
      <c r="P8" s="137"/>
      <c r="Q8" s="140"/>
      <c r="R8" s="140"/>
      <c r="S8" s="140"/>
      <c r="T8" s="275">
        <f t="shared" si="1"/>
        <v>0</v>
      </c>
      <c r="U8" s="134"/>
    </row>
    <row r="9" spans="1:21" s="65" customFormat="1">
      <c r="A9" s="91">
        <v>45416</v>
      </c>
      <c r="B9" s="72" t="s">
        <v>902</v>
      </c>
      <c r="C9" s="139">
        <v>5050000</v>
      </c>
      <c r="D9" s="136">
        <f t="shared" si="0"/>
        <v>317701213</v>
      </c>
      <c r="E9" s="137"/>
      <c r="F9" s="137"/>
      <c r="G9" s="137"/>
      <c r="H9" s="137"/>
      <c r="I9" s="137"/>
      <c r="J9" s="137"/>
      <c r="K9" s="136"/>
      <c r="L9" s="137">
        <f>C9</f>
        <v>5050000</v>
      </c>
      <c r="M9" s="137"/>
      <c r="N9" s="137"/>
      <c r="O9" s="137"/>
      <c r="P9" s="137"/>
      <c r="Q9" s="140"/>
      <c r="R9" s="140"/>
      <c r="S9" s="140"/>
      <c r="T9" s="275">
        <f t="shared" si="1"/>
        <v>0</v>
      </c>
      <c r="U9" s="134"/>
    </row>
    <row r="10" spans="1:21" s="65" customFormat="1">
      <c r="A10" s="91">
        <v>45417</v>
      </c>
      <c r="B10" s="72" t="s">
        <v>904</v>
      </c>
      <c r="C10" s="93">
        <v>3950000</v>
      </c>
      <c r="D10" s="136">
        <f t="shared" si="0"/>
        <v>321651213</v>
      </c>
      <c r="E10" s="137"/>
      <c r="F10" s="137"/>
      <c r="G10" s="137"/>
      <c r="H10" s="137"/>
      <c r="I10" s="137"/>
      <c r="J10" s="137"/>
      <c r="K10" s="137"/>
      <c r="L10" s="137">
        <f>C10</f>
        <v>3950000</v>
      </c>
      <c r="M10" s="137"/>
      <c r="N10" s="137"/>
      <c r="O10" s="137"/>
      <c r="P10" s="137"/>
      <c r="Q10" s="140"/>
      <c r="R10" s="140"/>
      <c r="S10" s="140"/>
      <c r="T10" s="275">
        <f t="shared" si="1"/>
        <v>0</v>
      </c>
      <c r="U10" s="134"/>
    </row>
    <row r="11" spans="1:21" s="65" customFormat="1" ht="30">
      <c r="A11" s="91">
        <v>45418</v>
      </c>
      <c r="B11" s="287" t="s">
        <v>1200</v>
      </c>
      <c r="C11" s="139">
        <v>1000000</v>
      </c>
      <c r="D11" s="136">
        <f t="shared" si="0"/>
        <v>322651213</v>
      </c>
      <c r="E11" s="137"/>
      <c r="F11" s="137"/>
      <c r="G11" s="137"/>
      <c r="H11" s="137"/>
      <c r="I11" s="137"/>
      <c r="J11" s="137"/>
      <c r="K11" s="137">
        <f>C11</f>
        <v>1000000</v>
      </c>
      <c r="L11" s="137"/>
      <c r="M11" s="137"/>
      <c r="N11" s="137"/>
      <c r="O11" s="137"/>
      <c r="P11" s="137"/>
      <c r="Q11" s="140"/>
      <c r="R11" s="140"/>
      <c r="S11" s="140"/>
      <c r="T11" s="275">
        <f t="shared" si="1"/>
        <v>0</v>
      </c>
      <c r="U11" s="134"/>
    </row>
    <row r="12" spans="1:21" s="65" customFormat="1">
      <c r="A12" s="91">
        <v>45419</v>
      </c>
      <c r="B12" s="287" t="s">
        <v>1212</v>
      </c>
      <c r="C12" s="139">
        <v>-69000</v>
      </c>
      <c r="D12" s="136">
        <f t="shared" si="0"/>
        <v>322582213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40"/>
      <c r="R12" s="140"/>
      <c r="S12" s="140">
        <f>C12</f>
        <v>-69000</v>
      </c>
      <c r="T12" s="275">
        <f t="shared" si="1"/>
        <v>0</v>
      </c>
      <c r="U12" s="134"/>
    </row>
    <row r="13" spans="1:21" s="65" customFormat="1">
      <c r="A13" s="91">
        <v>45419</v>
      </c>
      <c r="B13" s="72" t="s">
        <v>921</v>
      </c>
      <c r="C13" s="139">
        <v>7600000</v>
      </c>
      <c r="D13" s="136">
        <f t="shared" si="0"/>
        <v>330182213</v>
      </c>
      <c r="E13" s="137"/>
      <c r="F13" s="137"/>
      <c r="G13" s="137"/>
      <c r="H13" s="137"/>
      <c r="I13" s="137"/>
      <c r="J13" s="137"/>
      <c r="K13" s="137"/>
      <c r="L13" s="272">
        <f>C13</f>
        <v>7600000</v>
      </c>
      <c r="M13" s="137"/>
      <c r="N13" s="137"/>
      <c r="O13" s="137"/>
      <c r="P13" s="137"/>
      <c r="Q13" s="140"/>
      <c r="R13" s="140"/>
      <c r="S13" s="140"/>
      <c r="T13" s="275">
        <f t="shared" si="1"/>
        <v>0</v>
      </c>
      <c r="U13" s="134"/>
    </row>
    <row r="14" spans="1:21" s="65" customFormat="1">
      <c r="A14" s="91">
        <v>45420</v>
      </c>
      <c r="B14" s="287" t="s">
        <v>1201</v>
      </c>
      <c r="C14" s="139">
        <v>2000000</v>
      </c>
      <c r="D14" s="136">
        <f t="shared" si="0"/>
        <v>332182213</v>
      </c>
      <c r="E14" s="137"/>
      <c r="F14" s="137"/>
      <c r="G14" s="137"/>
      <c r="H14" s="137"/>
      <c r="I14" s="137"/>
      <c r="J14" s="137"/>
      <c r="K14" s="137">
        <f>C14</f>
        <v>2000000</v>
      </c>
      <c r="L14" s="137"/>
      <c r="M14" s="137"/>
      <c r="N14" s="137"/>
      <c r="O14" s="137"/>
      <c r="P14" s="137"/>
      <c r="Q14" s="140"/>
      <c r="R14" s="140"/>
      <c r="S14" s="140"/>
      <c r="T14" s="275">
        <f t="shared" si="1"/>
        <v>0</v>
      </c>
      <c r="U14" s="134"/>
    </row>
    <row r="15" spans="1:21" s="65" customFormat="1">
      <c r="A15" s="91">
        <v>45420</v>
      </c>
      <c r="B15" s="287" t="s">
        <v>1202</v>
      </c>
      <c r="C15" s="136">
        <v>2000000</v>
      </c>
      <c r="D15" s="136">
        <f t="shared" si="0"/>
        <v>334182213</v>
      </c>
      <c r="E15" s="137"/>
      <c r="F15" s="137"/>
      <c r="G15" s="137"/>
      <c r="H15" s="137"/>
      <c r="I15" s="137"/>
      <c r="J15" s="137"/>
      <c r="K15" s="137">
        <f t="shared" ref="K15:K19" si="2">C15</f>
        <v>2000000</v>
      </c>
      <c r="L15" s="137"/>
      <c r="M15" s="137"/>
      <c r="N15" s="137"/>
      <c r="O15" s="137"/>
      <c r="P15" s="137"/>
      <c r="Q15" s="140"/>
      <c r="R15" s="140"/>
      <c r="S15" s="140"/>
      <c r="T15" s="275">
        <f t="shared" si="1"/>
        <v>0</v>
      </c>
      <c r="U15" s="134"/>
    </row>
    <row r="16" spans="1:21" s="65" customFormat="1" ht="30">
      <c r="A16" s="91">
        <v>45421</v>
      </c>
      <c r="B16" s="287" t="s">
        <v>1203</v>
      </c>
      <c r="C16" s="139">
        <v>1000000</v>
      </c>
      <c r="D16" s="136">
        <f t="shared" si="0"/>
        <v>335182213</v>
      </c>
      <c r="E16" s="137"/>
      <c r="F16" s="137"/>
      <c r="G16" s="137"/>
      <c r="H16" s="137"/>
      <c r="I16" s="137"/>
      <c r="J16" s="137"/>
      <c r="K16" s="137">
        <f t="shared" si="2"/>
        <v>1000000</v>
      </c>
      <c r="L16" s="137"/>
      <c r="M16" s="137"/>
      <c r="N16" s="137"/>
      <c r="O16" s="137"/>
      <c r="P16" s="137"/>
      <c r="Q16" s="140"/>
      <c r="R16" s="140"/>
      <c r="S16" s="140"/>
      <c r="T16" s="275">
        <f t="shared" si="1"/>
        <v>0</v>
      </c>
      <c r="U16" s="134"/>
    </row>
    <row r="17" spans="1:21" s="65" customFormat="1" ht="30">
      <c r="A17" s="91">
        <v>45421</v>
      </c>
      <c r="B17" s="287" t="s">
        <v>1204</v>
      </c>
      <c r="C17" s="139">
        <v>500000</v>
      </c>
      <c r="D17" s="136">
        <f t="shared" si="0"/>
        <v>335682213</v>
      </c>
      <c r="E17" s="137"/>
      <c r="F17" s="137"/>
      <c r="G17" s="137"/>
      <c r="H17" s="137"/>
      <c r="I17" s="137"/>
      <c r="J17" s="137"/>
      <c r="K17" s="137">
        <f t="shared" si="2"/>
        <v>500000</v>
      </c>
      <c r="L17" s="137"/>
      <c r="M17" s="137"/>
      <c r="N17" s="137"/>
      <c r="O17" s="137"/>
      <c r="P17" s="137"/>
      <c r="Q17" s="140"/>
      <c r="R17" s="140"/>
      <c r="S17" s="140"/>
      <c r="T17" s="275">
        <f t="shared" si="1"/>
        <v>0</v>
      </c>
      <c r="U17" s="134"/>
    </row>
    <row r="18" spans="1:21" s="65" customFormat="1">
      <c r="A18" s="91">
        <v>45421</v>
      </c>
      <c r="B18" s="287" t="s">
        <v>1205</v>
      </c>
      <c r="C18" s="139">
        <v>500000</v>
      </c>
      <c r="D18" s="136">
        <f t="shared" si="0"/>
        <v>336182213</v>
      </c>
      <c r="E18" s="137"/>
      <c r="F18" s="137"/>
      <c r="G18" s="137"/>
      <c r="H18" s="137"/>
      <c r="I18" s="137"/>
      <c r="J18" s="137"/>
      <c r="K18" s="137">
        <f t="shared" si="2"/>
        <v>500000</v>
      </c>
      <c r="L18" s="396"/>
      <c r="M18" s="137"/>
      <c r="N18" s="137"/>
      <c r="O18" s="137"/>
      <c r="P18" s="137"/>
      <c r="Q18" s="140"/>
      <c r="R18" s="140"/>
      <c r="S18" s="140"/>
      <c r="T18" s="275">
        <f t="shared" si="1"/>
        <v>0</v>
      </c>
      <c r="U18" s="134"/>
    </row>
    <row r="19" spans="1:21" s="65" customFormat="1">
      <c r="A19" s="91">
        <v>45422</v>
      </c>
      <c r="B19" s="287" t="s">
        <v>1206</v>
      </c>
      <c r="C19" s="139">
        <v>1000000</v>
      </c>
      <c r="D19" s="136">
        <f t="shared" si="0"/>
        <v>337182213</v>
      </c>
      <c r="E19" s="137"/>
      <c r="F19" s="137"/>
      <c r="G19" s="137"/>
      <c r="H19" s="137"/>
      <c r="I19" s="137"/>
      <c r="J19" s="397"/>
      <c r="K19" s="137">
        <f t="shared" si="2"/>
        <v>1000000</v>
      </c>
      <c r="L19" s="396"/>
      <c r="M19" s="137"/>
      <c r="N19" s="137"/>
      <c r="O19" s="137"/>
      <c r="P19" s="137"/>
      <c r="Q19" s="140"/>
      <c r="R19" s="140"/>
      <c r="S19" s="140"/>
      <c r="T19" s="275">
        <f t="shared" si="1"/>
        <v>0</v>
      </c>
      <c r="U19" s="134"/>
    </row>
    <row r="20" spans="1:21" s="65" customFormat="1">
      <c r="A20" s="91">
        <v>45423</v>
      </c>
      <c r="B20" s="72" t="s">
        <v>988</v>
      </c>
      <c r="C20" s="139">
        <v>440000</v>
      </c>
      <c r="D20" s="136">
        <f t="shared" si="0"/>
        <v>337622213</v>
      </c>
      <c r="E20" s="137"/>
      <c r="F20" s="137"/>
      <c r="G20" s="137"/>
      <c r="H20" s="137"/>
      <c r="I20" s="137"/>
      <c r="J20" s="137">
        <f>C20</f>
        <v>440000</v>
      </c>
      <c r="K20" s="137"/>
      <c r="L20" s="137"/>
      <c r="M20" s="137"/>
      <c r="N20" s="137"/>
      <c r="O20" s="137"/>
      <c r="P20" s="137"/>
      <c r="Q20" s="140"/>
      <c r="R20" s="140"/>
      <c r="S20" s="140"/>
      <c r="T20" s="275">
        <f t="shared" si="1"/>
        <v>0</v>
      </c>
      <c r="U20" s="134"/>
    </row>
    <row r="21" spans="1:21" s="65" customFormat="1" ht="30">
      <c r="A21" s="91">
        <v>45424</v>
      </c>
      <c r="B21" s="287" t="s">
        <v>1207</v>
      </c>
      <c r="C21" s="139">
        <v>1000000</v>
      </c>
      <c r="D21" s="136">
        <f t="shared" si="0"/>
        <v>338622213</v>
      </c>
      <c r="E21" s="137"/>
      <c r="F21" s="137"/>
      <c r="G21" s="137"/>
      <c r="H21" s="137"/>
      <c r="I21" s="137"/>
      <c r="J21" s="137"/>
      <c r="K21" s="137">
        <f>C21</f>
        <v>1000000</v>
      </c>
      <c r="L21" s="137"/>
      <c r="M21" s="137"/>
      <c r="N21" s="137"/>
      <c r="O21" s="137"/>
      <c r="P21" s="137"/>
      <c r="Q21" s="140"/>
      <c r="R21" s="140"/>
      <c r="S21" s="140"/>
      <c r="T21" s="275">
        <f t="shared" si="1"/>
        <v>0</v>
      </c>
      <c r="U21" s="134"/>
    </row>
    <row r="22" spans="1:21" s="65" customFormat="1">
      <c r="A22" s="91">
        <v>45425</v>
      </c>
      <c r="B22" s="368" t="s">
        <v>1106</v>
      </c>
      <c r="C22" s="139">
        <v>80000000</v>
      </c>
      <c r="D22" s="136">
        <f t="shared" si="0"/>
        <v>418622213</v>
      </c>
      <c r="E22" s="137"/>
      <c r="F22" s="137">
        <f>C22</f>
        <v>80000000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40"/>
      <c r="R22" s="140"/>
      <c r="S22" s="140"/>
      <c r="T22" s="275">
        <f t="shared" si="1"/>
        <v>0</v>
      </c>
      <c r="U22" s="134"/>
    </row>
    <row r="23" spans="1:21" s="65" customFormat="1">
      <c r="A23" s="91">
        <v>45425</v>
      </c>
      <c r="B23" s="368" t="s">
        <v>52</v>
      </c>
      <c r="C23" s="139">
        <v>228665</v>
      </c>
      <c r="D23" s="136">
        <f t="shared" si="0"/>
        <v>418850878</v>
      </c>
      <c r="E23" s="137"/>
      <c r="F23" s="137"/>
      <c r="G23" s="137"/>
      <c r="H23" s="137">
        <f>C23</f>
        <v>228665</v>
      </c>
      <c r="I23" s="137"/>
      <c r="J23" s="137"/>
      <c r="K23" s="137"/>
      <c r="L23" s="137"/>
      <c r="M23" s="137"/>
      <c r="N23" s="137"/>
      <c r="O23" s="137"/>
      <c r="P23" s="137"/>
      <c r="Q23" s="140"/>
      <c r="R23" s="140"/>
      <c r="S23" s="140"/>
      <c r="T23" s="275">
        <f t="shared" si="1"/>
        <v>0</v>
      </c>
      <c r="U23" s="134"/>
    </row>
    <row r="24" spans="1:21" s="65" customFormat="1" ht="30">
      <c r="A24" s="91">
        <v>45426</v>
      </c>
      <c r="B24" s="287" t="s">
        <v>1210</v>
      </c>
      <c r="C24" s="139">
        <v>500000</v>
      </c>
      <c r="D24" s="136">
        <f t="shared" si="0"/>
        <v>419350878</v>
      </c>
      <c r="E24" s="137"/>
      <c r="F24" s="137"/>
      <c r="G24" s="137"/>
      <c r="H24" s="137"/>
      <c r="I24" s="137"/>
      <c r="J24" s="137"/>
      <c r="K24" s="137">
        <f>C24</f>
        <v>500000</v>
      </c>
      <c r="L24" s="137"/>
      <c r="M24" s="137"/>
      <c r="N24" s="137"/>
      <c r="O24" s="137"/>
      <c r="P24" s="137"/>
      <c r="Q24" s="140"/>
      <c r="R24" s="140"/>
      <c r="S24" s="140"/>
      <c r="T24" s="275">
        <f t="shared" si="1"/>
        <v>0</v>
      </c>
      <c r="U24" s="134"/>
    </row>
    <row r="25" spans="1:21" s="65" customFormat="1">
      <c r="A25" s="91">
        <v>45427</v>
      </c>
      <c r="B25" s="49" t="s">
        <v>1213</v>
      </c>
      <c r="C25" s="139">
        <v>45011700</v>
      </c>
      <c r="D25" s="136">
        <f t="shared" si="0"/>
        <v>464362578</v>
      </c>
      <c r="E25" s="137"/>
      <c r="F25" s="137"/>
      <c r="G25" s="137"/>
      <c r="H25" s="137"/>
      <c r="I25" s="137">
        <f>C25</f>
        <v>45011700</v>
      </c>
      <c r="J25" s="137"/>
      <c r="K25" s="137"/>
      <c r="L25" s="137"/>
      <c r="M25" s="137"/>
      <c r="N25" s="137"/>
      <c r="O25" s="137"/>
      <c r="P25" s="137"/>
      <c r="Q25" s="140"/>
      <c r="R25" s="140"/>
      <c r="S25" s="140"/>
      <c r="T25" s="275">
        <f t="shared" si="1"/>
        <v>0</v>
      </c>
      <c r="U25" s="134"/>
    </row>
    <row r="26" spans="1:21" s="65" customFormat="1">
      <c r="A26" s="91">
        <v>45427</v>
      </c>
      <c r="B26" s="287" t="s">
        <v>1213</v>
      </c>
      <c r="C26" s="139">
        <v>1561680</v>
      </c>
      <c r="D26" s="136">
        <f t="shared" si="0"/>
        <v>465924258</v>
      </c>
      <c r="E26" s="137"/>
      <c r="F26" s="137"/>
      <c r="G26" s="137"/>
      <c r="H26" s="137"/>
      <c r="I26" s="137">
        <f>C26</f>
        <v>1561680</v>
      </c>
      <c r="J26" s="137"/>
      <c r="K26" s="137"/>
      <c r="L26" s="137"/>
      <c r="M26" s="137"/>
      <c r="N26" s="137"/>
      <c r="O26" s="137"/>
      <c r="P26" s="137"/>
      <c r="Q26" s="140"/>
      <c r="R26" s="140"/>
      <c r="S26" s="140"/>
      <c r="T26" s="275">
        <f t="shared" si="1"/>
        <v>0</v>
      </c>
      <c r="U26" s="134"/>
    </row>
    <row r="27" spans="1:21" s="65" customFormat="1">
      <c r="A27" s="91">
        <v>45427</v>
      </c>
      <c r="B27" s="192" t="s">
        <v>1214</v>
      </c>
      <c r="C27" s="139">
        <v>1000000</v>
      </c>
      <c r="D27" s="136">
        <f t="shared" si="0"/>
        <v>466924258</v>
      </c>
      <c r="E27" s="137"/>
      <c r="F27" s="137"/>
      <c r="G27" s="137"/>
      <c r="H27" s="137"/>
      <c r="I27" s="137"/>
      <c r="J27" s="137"/>
      <c r="K27" s="137">
        <f>C27</f>
        <v>1000000</v>
      </c>
      <c r="L27" s="137"/>
      <c r="M27" s="137"/>
      <c r="N27" s="137"/>
      <c r="O27" s="137"/>
      <c r="P27" s="137"/>
      <c r="Q27" s="140"/>
      <c r="R27" s="140"/>
      <c r="S27" s="140"/>
      <c r="T27" s="275">
        <f t="shared" si="1"/>
        <v>0</v>
      </c>
      <c r="U27" s="134"/>
    </row>
    <row r="28" spans="1:21" s="65" customFormat="1" ht="30">
      <c r="A28" s="91">
        <v>45428</v>
      </c>
      <c r="B28" s="287" t="s">
        <v>1215</v>
      </c>
      <c r="C28" s="139">
        <v>2500000</v>
      </c>
      <c r="D28" s="136">
        <f t="shared" si="0"/>
        <v>469424258</v>
      </c>
      <c r="E28" s="137"/>
      <c r="F28" s="137"/>
      <c r="G28" s="137"/>
      <c r="H28" s="137"/>
      <c r="I28" s="137"/>
      <c r="J28" s="137"/>
      <c r="K28" s="137">
        <f>C28</f>
        <v>2500000</v>
      </c>
      <c r="L28" s="137"/>
      <c r="M28" s="137"/>
      <c r="N28" s="137"/>
      <c r="O28" s="137"/>
      <c r="P28" s="137"/>
      <c r="Q28" s="140"/>
      <c r="R28" s="140"/>
      <c r="S28" s="140"/>
      <c r="T28" s="275">
        <f t="shared" si="1"/>
        <v>0</v>
      </c>
      <c r="U28" s="134"/>
    </row>
    <row r="29" spans="1:21" s="65" customFormat="1">
      <c r="A29" s="91">
        <v>45428</v>
      </c>
      <c r="B29" s="287" t="s">
        <v>1106</v>
      </c>
      <c r="C29" s="139">
        <v>40000000</v>
      </c>
      <c r="D29" s="136">
        <f t="shared" si="0"/>
        <v>509424258</v>
      </c>
      <c r="E29" s="137"/>
      <c r="F29" s="137">
        <f>C29</f>
        <v>40000000</v>
      </c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40"/>
      <c r="R29" s="140"/>
      <c r="S29" s="140"/>
      <c r="T29" s="275">
        <f t="shared" si="1"/>
        <v>0</v>
      </c>
      <c r="U29" s="134"/>
    </row>
    <row r="30" spans="1:21" s="65" customFormat="1">
      <c r="A30" s="91">
        <v>45429</v>
      </c>
      <c r="B30" s="389" t="s">
        <v>621</v>
      </c>
      <c r="C30" s="139">
        <v>-16000</v>
      </c>
      <c r="D30" s="136">
        <f t="shared" si="0"/>
        <v>509408258</v>
      </c>
      <c r="E30" s="137"/>
      <c r="F30" s="137"/>
      <c r="G30" s="137"/>
      <c r="H30" s="137"/>
      <c r="I30" s="137"/>
      <c r="J30" s="137"/>
      <c r="K30" s="137"/>
      <c r="L30" s="272"/>
      <c r="M30" s="137"/>
      <c r="N30" s="137"/>
      <c r="O30" s="137"/>
      <c r="P30" s="137"/>
      <c r="Q30" s="140"/>
      <c r="R30" s="140"/>
      <c r="S30" s="140">
        <f>C30</f>
        <v>-16000</v>
      </c>
      <c r="T30" s="275">
        <f t="shared" si="1"/>
        <v>0</v>
      </c>
      <c r="U30" s="134"/>
    </row>
    <row r="31" spans="1:21" s="65" customFormat="1">
      <c r="A31" s="91">
        <v>45431</v>
      </c>
      <c r="B31" s="72" t="s">
        <v>1089</v>
      </c>
      <c r="C31" s="139">
        <v>440000</v>
      </c>
      <c r="D31" s="136">
        <f t="shared" si="0"/>
        <v>509848258</v>
      </c>
      <c r="E31" s="137"/>
      <c r="F31" s="137"/>
      <c r="G31" s="137"/>
      <c r="H31" s="137"/>
      <c r="I31" s="137"/>
      <c r="J31" s="137">
        <f>C31</f>
        <v>440000</v>
      </c>
      <c r="K31" s="137"/>
      <c r="L31" s="272"/>
      <c r="M31" s="137"/>
      <c r="N31" s="137"/>
      <c r="O31" s="137"/>
      <c r="P31" s="137"/>
      <c r="Q31" s="140"/>
      <c r="R31" s="140"/>
      <c r="S31" s="140"/>
      <c r="T31" s="275">
        <f t="shared" si="1"/>
        <v>0</v>
      </c>
      <c r="U31" s="134"/>
    </row>
    <row r="32" spans="1:21" s="65" customFormat="1">
      <c r="A32" s="91">
        <v>45431</v>
      </c>
      <c r="B32" s="287" t="s">
        <v>1209</v>
      </c>
      <c r="C32" s="139">
        <v>500000</v>
      </c>
      <c r="D32" s="136">
        <f t="shared" si="0"/>
        <v>510348258</v>
      </c>
      <c r="E32" s="137"/>
      <c r="F32" s="137"/>
      <c r="G32" s="137"/>
      <c r="H32" s="137"/>
      <c r="I32" s="137"/>
      <c r="J32" s="137"/>
      <c r="K32" s="137">
        <f>C32</f>
        <v>500000</v>
      </c>
      <c r="L32" s="137"/>
      <c r="M32" s="137"/>
      <c r="N32" s="137"/>
      <c r="O32" s="137"/>
      <c r="P32" s="137"/>
      <c r="Q32" s="140"/>
      <c r="R32" s="140"/>
      <c r="S32" s="140"/>
      <c r="T32" s="275">
        <f t="shared" si="1"/>
        <v>0</v>
      </c>
      <c r="U32" s="134"/>
    </row>
    <row r="33" spans="1:21" s="65" customFormat="1">
      <c r="A33" s="91">
        <v>45432</v>
      </c>
      <c r="B33" s="368" t="s">
        <v>583</v>
      </c>
      <c r="C33" s="139">
        <v>40000000</v>
      </c>
      <c r="D33" s="136">
        <f t="shared" si="0"/>
        <v>550348258</v>
      </c>
      <c r="E33" s="137"/>
      <c r="F33" s="137">
        <f>C33</f>
        <v>40000000</v>
      </c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40"/>
      <c r="R33" s="140"/>
      <c r="S33" s="140"/>
      <c r="T33" s="275">
        <f t="shared" si="1"/>
        <v>0</v>
      </c>
      <c r="U33" s="134"/>
    </row>
    <row r="34" spans="1:21" s="65" customFormat="1">
      <c r="A34" s="91">
        <v>45432</v>
      </c>
      <c r="B34" s="72" t="s">
        <v>1101</v>
      </c>
      <c r="C34" s="139">
        <v>2760000</v>
      </c>
      <c r="D34" s="136">
        <f t="shared" si="0"/>
        <v>553108258</v>
      </c>
      <c r="E34" s="137"/>
      <c r="F34" s="137"/>
      <c r="G34" s="137"/>
      <c r="H34" s="137"/>
      <c r="I34" s="137"/>
      <c r="J34" s="137"/>
      <c r="K34" s="137"/>
      <c r="L34" s="137">
        <f>C34</f>
        <v>2760000</v>
      </c>
      <c r="M34" s="137"/>
      <c r="N34" s="137"/>
      <c r="O34" s="137"/>
      <c r="P34" s="137"/>
      <c r="Q34" s="140"/>
      <c r="R34" s="140"/>
      <c r="S34" s="140"/>
      <c r="T34" s="275">
        <f t="shared" si="1"/>
        <v>0</v>
      </c>
      <c r="U34" s="134"/>
    </row>
    <row r="35" spans="1:21" s="65" customFormat="1">
      <c r="A35" s="91">
        <v>45432</v>
      </c>
      <c r="B35" s="72" t="s">
        <v>1103</v>
      </c>
      <c r="C35" s="139">
        <v>2400000</v>
      </c>
      <c r="D35" s="136">
        <f t="shared" si="0"/>
        <v>555508258</v>
      </c>
      <c r="E35" s="137"/>
      <c r="F35" s="137"/>
      <c r="G35" s="137"/>
      <c r="H35" s="137"/>
      <c r="I35" s="137"/>
      <c r="J35" s="137"/>
      <c r="K35" s="137"/>
      <c r="L35" s="137">
        <f>C35</f>
        <v>2400000</v>
      </c>
      <c r="M35" s="137"/>
      <c r="N35" s="137"/>
      <c r="O35" s="137"/>
      <c r="P35" s="137"/>
      <c r="Q35" s="140"/>
      <c r="R35" s="140"/>
      <c r="S35" s="140"/>
      <c r="T35" s="275">
        <f t="shared" si="1"/>
        <v>0</v>
      </c>
      <c r="U35" s="134"/>
    </row>
    <row r="36" spans="1:21" s="134" customFormat="1">
      <c r="A36" s="91">
        <v>45433</v>
      </c>
      <c r="B36" s="456" t="s">
        <v>1222</v>
      </c>
      <c r="C36" s="139">
        <v>340000</v>
      </c>
      <c r="D36" s="136">
        <f t="shared" si="0"/>
        <v>555848258</v>
      </c>
      <c r="E36" s="137"/>
      <c r="F36" s="137"/>
      <c r="G36" s="137"/>
      <c r="H36" s="137"/>
      <c r="I36" s="137"/>
      <c r="J36" s="137"/>
      <c r="K36" s="137"/>
      <c r="L36" s="137">
        <f>C36</f>
        <v>340000</v>
      </c>
      <c r="M36" s="137"/>
      <c r="N36" s="137"/>
      <c r="O36" s="137"/>
      <c r="P36" s="137"/>
      <c r="Q36" s="140"/>
      <c r="R36" s="140"/>
      <c r="S36" s="140"/>
      <c r="T36" s="275"/>
    </row>
    <row r="37" spans="1:21" s="134" customFormat="1">
      <c r="A37" s="91">
        <v>45434</v>
      </c>
      <c r="B37" s="64" t="s">
        <v>1375</v>
      </c>
      <c r="C37" s="139">
        <v>40000000</v>
      </c>
      <c r="D37" s="136">
        <f t="shared" si="0"/>
        <v>595848258</v>
      </c>
      <c r="E37" s="137"/>
      <c r="F37" s="137">
        <f>C37</f>
        <v>40000000</v>
      </c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40"/>
      <c r="R37" s="140"/>
      <c r="S37" s="140"/>
      <c r="T37" s="275"/>
    </row>
    <row r="38" spans="1:21" s="134" customFormat="1">
      <c r="A38" s="91">
        <v>45434</v>
      </c>
      <c r="B38" s="287" t="s">
        <v>1376</v>
      </c>
      <c r="C38" s="93">
        <v>500000</v>
      </c>
      <c r="D38" s="136">
        <f t="shared" si="0"/>
        <v>596348258</v>
      </c>
      <c r="E38" s="137"/>
      <c r="F38" s="137"/>
      <c r="G38" s="137"/>
      <c r="H38" s="137"/>
      <c r="I38" s="137"/>
      <c r="J38" s="137"/>
      <c r="K38" s="137">
        <f>C38</f>
        <v>500000</v>
      </c>
      <c r="L38" s="137"/>
      <c r="M38" s="137"/>
      <c r="N38" s="137"/>
      <c r="O38" s="137"/>
      <c r="P38" s="137"/>
      <c r="Q38" s="140"/>
      <c r="R38" s="140"/>
      <c r="S38" s="140"/>
      <c r="T38" s="275"/>
    </row>
    <row r="39" spans="1:21" s="134" customFormat="1">
      <c r="A39" s="91">
        <v>45436</v>
      </c>
      <c r="B39" s="287" t="s">
        <v>1377</v>
      </c>
      <c r="C39" s="139">
        <v>1000000</v>
      </c>
      <c r="D39" s="136">
        <f t="shared" si="0"/>
        <v>597348258</v>
      </c>
      <c r="E39" s="137"/>
      <c r="F39" s="137"/>
      <c r="G39" s="137"/>
      <c r="H39" s="137"/>
      <c r="I39" s="137"/>
      <c r="J39" s="137"/>
      <c r="K39" s="137">
        <f>C39</f>
        <v>1000000</v>
      </c>
      <c r="L39" s="137"/>
      <c r="M39" s="137"/>
      <c r="N39" s="137"/>
      <c r="O39" s="137"/>
      <c r="P39" s="137"/>
      <c r="Q39" s="140"/>
      <c r="R39" s="140"/>
      <c r="S39" s="140"/>
      <c r="T39" s="275"/>
    </row>
    <row r="40" spans="1:21" s="134" customFormat="1">
      <c r="A40" s="91">
        <v>45436</v>
      </c>
      <c r="B40" s="72" t="s">
        <v>1273</v>
      </c>
      <c r="C40" s="139">
        <v>6000000</v>
      </c>
      <c r="D40" s="136">
        <f t="shared" si="0"/>
        <v>603348258</v>
      </c>
      <c r="E40" s="137"/>
      <c r="F40" s="137"/>
      <c r="G40" s="137"/>
      <c r="H40" s="137"/>
      <c r="I40" s="137"/>
      <c r="J40" s="397"/>
      <c r="K40" s="137"/>
      <c r="L40" s="137">
        <f>C40</f>
        <v>6000000</v>
      </c>
      <c r="M40" s="137"/>
      <c r="N40" s="137"/>
      <c r="O40" s="137"/>
      <c r="P40" s="137"/>
      <c r="Q40" s="140"/>
      <c r="R40" s="140"/>
      <c r="S40" s="140"/>
      <c r="T40" s="275"/>
    </row>
    <row r="41" spans="1:21" s="134" customFormat="1">
      <c r="A41" s="91">
        <v>45436</v>
      </c>
      <c r="B41" s="72" t="s">
        <v>1257</v>
      </c>
      <c r="C41" s="139">
        <v>38762000</v>
      </c>
      <c r="D41" s="136">
        <f t="shared" si="0"/>
        <v>642110258</v>
      </c>
      <c r="E41" s="137"/>
      <c r="F41" s="137"/>
      <c r="G41" s="137"/>
      <c r="H41" s="137"/>
      <c r="I41" s="137"/>
      <c r="J41" s="137"/>
      <c r="K41" s="137"/>
      <c r="L41" s="137">
        <f>C41</f>
        <v>38762000</v>
      </c>
      <c r="M41" s="137"/>
      <c r="N41" s="137"/>
      <c r="O41" s="137"/>
      <c r="P41" s="137"/>
      <c r="Q41" s="140"/>
      <c r="R41" s="140"/>
      <c r="S41" s="140"/>
      <c r="T41" s="275"/>
    </row>
    <row r="42" spans="1:21" s="134" customFormat="1">
      <c r="A42" s="91">
        <v>45438</v>
      </c>
      <c r="B42" s="72" t="s">
        <v>1276</v>
      </c>
      <c r="C42" s="139">
        <v>7200000</v>
      </c>
      <c r="D42" s="136">
        <f>SUM(D41,C42)</f>
        <v>649310258</v>
      </c>
      <c r="E42" s="137"/>
      <c r="F42" s="137"/>
      <c r="G42" s="137"/>
      <c r="H42" s="137"/>
      <c r="I42" s="137"/>
      <c r="J42" s="137"/>
      <c r="K42" s="137"/>
      <c r="L42" s="137">
        <f>C42</f>
        <v>7200000</v>
      </c>
      <c r="M42" s="137"/>
      <c r="N42" s="137"/>
      <c r="O42" s="137"/>
      <c r="P42" s="137"/>
      <c r="Q42" s="140"/>
      <c r="R42" s="140"/>
      <c r="S42" s="140"/>
      <c r="T42" s="275"/>
    </row>
    <row r="43" spans="1:21" s="134" customFormat="1">
      <c r="A43" s="91">
        <v>45439</v>
      </c>
      <c r="B43" s="72" t="s">
        <v>1287</v>
      </c>
      <c r="C43" s="139">
        <v>2280000</v>
      </c>
      <c r="D43" s="136">
        <f t="shared" ref="D43:D51" si="3">SUM(D42,C43)</f>
        <v>651590258</v>
      </c>
      <c r="E43" s="137"/>
      <c r="F43" s="137"/>
      <c r="G43" s="137"/>
      <c r="H43" s="137"/>
      <c r="I43" s="137"/>
      <c r="J43" s="137"/>
      <c r="K43" s="137"/>
      <c r="L43" s="137">
        <f>C43</f>
        <v>2280000</v>
      </c>
      <c r="M43" s="137"/>
      <c r="N43" s="137"/>
      <c r="O43" s="137"/>
      <c r="P43" s="137"/>
      <c r="Q43" s="140"/>
      <c r="R43" s="140"/>
      <c r="S43" s="140"/>
      <c r="T43" s="275"/>
    </row>
    <row r="44" spans="1:21" s="134" customFormat="1">
      <c r="A44" s="91">
        <v>45439</v>
      </c>
      <c r="B44" s="287" t="s">
        <v>1378</v>
      </c>
      <c r="C44" s="139">
        <v>500000</v>
      </c>
      <c r="D44" s="136">
        <f t="shared" si="3"/>
        <v>652090258</v>
      </c>
      <c r="E44" s="137"/>
      <c r="F44" s="137"/>
      <c r="G44" s="137"/>
      <c r="H44" s="137"/>
      <c r="I44" s="137"/>
      <c r="J44" s="137"/>
      <c r="K44" s="137">
        <f>C44</f>
        <v>500000</v>
      </c>
      <c r="L44" s="137"/>
      <c r="M44" s="137"/>
      <c r="N44" s="137"/>
      <c r="O44" s="137"/>
      <c r="P44" s="137"/>
      <c r="Q44" s="140"/>
      <c r="R44" s="140"/>
      <c r="S44" s="140"/>
      <c r="T44" s="275"/>
    </row>
    <row r="45" spans="1:21" s="134" customFormat="1">
      <c r="A45" s="91">
        <v>45440</v>
      </c>
      <c r="B45" s="368" t="s">
        <v>1106</v>
      </c>
      <c r="C45" s="139">
        <v>-90000000</v>
      </c>
      <c r="D45" s="136">
        <f t="shared" si="3"/>
        <v>562090258</v>
      </c>
      <c r="E45" s="137"/>
      <c r="F45" s="137"/>
      <c r="G45" s="137">
        <f>C45</f>
        <v>-90000000</v>
      </c>
      <c r="H45" s="137"/>
      <c r="I45" s="137"/>
      <c r="J45" s="137"/>
      <c r="K45" s="137"/>
      <c r="L45" s="137"/>
      <c r="M45" s="137"/>
      <c r="N45" s="137"/>
      <c r="O45" s="137"/>
      <c r="P45" s="137"/>
      <c r="Q45" s="140"/>
      <c r="R45" s="140"/>
      <c r="S45" s="140"/>
      <c r="T45" s="275"/>
    </row>
    <row r="46" spans="1:21" s="134" customFormat="1">
      <c r="A46" s="91">
        <v>45440</v>
      </c>
      <c r="B46" s="49" t="s">
        <v>1214</v>
      </c>
      <c r="C46" s="139">
        <v>2000000</v>
      </c>
      <c r="D46" s="136">
        <f t="shared" si="3"/>
        <v>564090258</v>
      </c>
      <c r="E46" s="137"/>
      <c r="F46" s="137"/>
      <c r="G46" s="137"/>
      <c r="H46" s="137"/>
      <c r="I46" s="137"/>
      <c r="J46" s="137"/>
      <c r="K46" s="137">
        <f>C46</f>
        <v>2000000</v>
      </c>
      <c r="L46" s="137"/>
      <c r="M46" s="137"/>
      <c r="N46" s="137"/>
      <c r="O46" s="137"/>
      <c r="P46" s="137"/>
      <c r="Q46" s="140"/>
      <c r="R46" s="140"/>
      <c r="S46" s="140"/>
      <c r="T46" s="275"/>
    </row>
    <row r="47" spans="1:21" s="134" customFormat="1">
      <c r="A47" s="91">
        <v>45440</v>
      </c>
      <c r="B47" s="287" t="s">
        <v>1214</v>
      </c>
      <c r="C47" s="139">
        <v>7180000</v>
      </c>
      <c r="D47" s="136">
        <f t="shared" si="3"/>
        <v>571270258</v>
      </c>
      <c r="E47" s="137"/>
      <c r="F47" s="137"/>
      <c r="G47" s="137"/>
      <c r="H47" s="137"/>
      <c r="I47" s="137"/>
      <c r="J47" s="137"/>
      <c r="K47" s="137">
        <f>C47</f>
        <v>7180000</v>
      </c>
      <c r="L47" s="137"/>
      <c r="M47" s="137"/>
      <c r="N47" s="137"/>
      <c r="O47" s="137"/>
      <c r="P47" s="137"/>
      <c r="Q47" s="140"/>
      <c r="R47" s="140"/>
      <c r="S47" s="140"/>
      <c r="T47" s="275"/>
    </row>
    <row r="48" spans="1:21" s="134" customFormat="1">
      <c r="A48" s="91">
        <v>45441</v>
      </c>
      <c r="B48" s="457" t="s">
        <v>1301</v>
      </c>
      <c r="C48" s="93">
        <v>12705000</v>
      </c>
      <c r="D48" s="136">
        <f t="shared" si="3"/>
        <v>583975258</v>
      </c>
      <c r="E48" s="137"/>
      <c r="F48" s="137"/>
      <c r="G48" s="137"/>
      <c r="H48" s="137"/>
      <c r="I48" s="137"/>
      <c r="J48" s="137"/>
      <c r="K48" s="137"/>
      <c r="L48" s="137">
        <f>C48</f>
        <v>12705000</v>
      </c>
      <c r="M48" s="137"/>
      <c r="N48" s="137"/>
      <c r="O48" s="137"/>
      <c r="P48" s="137"/>
      <c r="Q48" s="140"/>
      <c r="R48" s="140"/>
      <c r="S48" s="140"/>
      <c r="T48" s="275"/>
    </row>
    <row r="49" spans="1:21" s="134" customFormat="1">
      <c r="A49" s="91">
        <v>45442</v>
      </c>
      <c r="B49" s="458" t="s">
        <v>1318</v>
      </c>
      <c r="C49" s="139">
        <v>2840000</v>
      </c>
      <c r="D49" s="136">
        <f t="shared" si="3"/>
        <v>586815258</v>
      </c>
      <c r="E49" s="137"/>
      <c r="F49" s="137"/>
      <c r="G49" s="137"/>
      <c r="H49" s="137"/>
      <c r="I49" s="137"/>
      <c r="J49" s="137"/>
      <c r="K49" s="137"/>
      <c r="L49" s="137">
        <f t="shared" ref="L49:L50" si="4">C49</f>
        <v>2840000</v>
      </c>
      <c r="M49" s="137"/>
      <c r="N49" s="137"/>
      <c r="O49" s="137"/>
      <c r="P49" s="137"/>
      <c r="Q49" s="140"/>
      <c r="R49" s="140"/>
      <c r="S49" s="140"/>
      <c r="T49" s="275"/>
    </row>
    <row r="50" spans="1:21" s="134" customFormat="1">
      <c r="A50" s="91">
        <v>45442</v>
      </c>
      <c r="B50" s="72" t="s">
        <v>1331</v>
      </c>
      <c r="C50" s="139">
        <v>20644000</v>
      </c>
      <c r="D50" s="136">
        <f t="shared" si="3"/>
        <v>607459258</v>
      </c>
      <c r="E50" s="137"/>
      <c r="F50" s="137"/>
      <c r="G50" s="137"/>
      <c r="H50" s="137"/>
      <c r="I50" s="137"/>
      <c r="J50" s="137"/>
      <c r="K50" s="137"/>
      <c r="L50" s="137">
        <f t="shared" si="4"/>
        <v>20644000</v>
      </c>
      <c r="M50" s="137"/>
      <c r="N50" s="137"/>
      <c r="O50" s="137"/>
      <c r="P50" s="137"/>
      <c r="Q50" s="140"/>
      <c r="R50" s="140"/>
      <c r="S50" s="140"/>
      <c r="T50" s="275"/>
    </row>
    <row r="51" spans="1:21" s="134" customFormat="1">
      <c r="A51" s="91">
        <v>45443</v>
      </c>
      <c r="B51" s="72" t="s">
        <v>1339</v>
      </c>
      <c r="C51" s="139">
        <v>5750000</v>
      </c>
      <c r="D51" s="136">
        <f t="shared" si="3"/>
        <v>613209258</v>
      </c>
      <c r="E51" s="136"/>
      <c r="F51" s="136"/>
      <c r="G51" s="136"/>
      <c r="H51" s="136"/>
      <c r="I51" s="136"/>
      <c r="J51" s="136"/>
      <c r="K51" s="136"/>
      <c r="L51" s="136">
        <f>C51</f>
        <v>5750000</v>
      </c>
      <c r="M51" s="136"/>
      <c r="N51" s="136"/>
      <c r="O51" s="136"/>
      <c r="P51" s="136"/>
      <c r="Q51" s="136"/>
      <c r="R51" s="136"/>
      <c r="S51" s="136"/>
      <c r="T51" s="275"/>
    </row>
    <row r="52" spans="1:21" s="65" customFormat="1">
      <c r="A52" s="91">
        <v>45443</v>
      </c>
      <c r="B52" s="460" t="s">
        <v>1424</v>
      </c>
      <c r="C52" s="139">
        <v>750000</v>
      </c>
      <c r="D52" s="136">
        <f t="shared" si="0"/>
        <v>613959258</v>
      </c>
      <c r="E52" s="137"/>
      <c r="F52" s="137"/>
      <c r="G52" s="137"/>
      <c r="H52" s="137"/>
      <c r="I52" s="137"/>
      <c r="J52" s="137"/>
      <c r="K52" s="137">
        <f>C52</f>
        <v>750000</v>
      </c>
      <c r="L52" s="137"/>
      <c r="M52" s="137"/>
      <c r="N52" s="137"/>
      <c r="O52" s="137"/>
      <c r="P52" s="137"/>
      <c r="Q52" s="140"/>
      <c r="R52" s="140"/>
      <c r="S52" s="140"/>
      <c r="T52" s="275">
        <f t="shared" si="1"/>
        <v>0</v>
      </c>
      <c r="U52" s="134"/>
    </row>
    <row r="53" spans="1:21" s="65" customFormat="1">
      <c r="A53" s="91">
        <v>45443</v>
      </c>
      <c r="B53" s="287" t="s">
        <v>1212</v>
      </c>
      <c r="C53" s="139">
        <v>3966</v>
      </c>
      <c r="D53" s="136">
        <f t="shared" si="0"/>
        <v>613963224</v>
      </c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40"/>
      <c r="R53" s="140"/>
      <c r="S53" s="140">
        <f>C53</f>
        <v>3966</v>
      </c>
      <c r="T53" s="275">
        <f t="shared" si="1"/>
        <v>0</v>
      </c>
      <c r="U53" s="134"/>
    </row>
    <row r="54" spans="1:21" s="134" customFormat="1">
      <c r="A54" s="91">
        <v>45443</v>
      </c>
      <c r="B54" s="287" t="s">
        <v>1212</v>
      </c>
      <c r="C54" s="139">
        <v>-793</v>
      </c>
      <c r="D54" s="136">
        <f t="shared" si="0"/>
        <v>613962431</v>
      </c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40"/>
      <c r="R54" s="140"/>
      <c r="S54" s="140">
        <f>C54</f>
        <v>-793</v>
      </c>
      <c r="T54" s="275">
        <f t="shared" si="1"/>
        <v>0</v>
      </c>
    </row>
    <row r="55" spans="1:21">
      <c r="A55" s="15"/>
      <c r="B55" s="15"/>
      <c r="C55" s="191">
        <f>SUM(C4:C54)</f>
        <v>305439883</v>
      </c>
      <c r="D55" s="191"/>
      <c r="E55" s="191"/>
      <c r="F55" s="470">
        <f>SUM(F4:F54)</f>
        <v>200000000</v>
      </c>
      <c r="G55" s="470">
        <f t="shared" ref="G55:S55" si="5">SUM(G4:G54)</f>
        <v>-90000000</v>
      </c>
      <c r="H55" s="470">
        <f t="shared" si="5"/>
        <v>457330</v>
      </c>
      <c r="I55" s="470">
        <f t="shared" si="5"/>
        <v>46573380</v>
      </c>
      <c r="J55" s="470">
        <f t="shared" si="5"/>
        <v>880000</v>
      </c>
      <c r="K55" s="473">
        <f>SUM(K3:K54)</f>
        <v>27930000</v>
      </c>
      <c r="L55" s="470">
        <f t="shared" si="5"/>
        <v>119681000</v>
      </c>
      <c r="M55" s="191">
        <f t="shared" si="5"/>
        <v>0</v>
      </c>
      <c r="N55" s="191">
        <f t="shared" si="5"/>
        <v>0</v>
      </c>
      <c r="O55" s="191">
        <f t="shared" si="5"/>
        <v>0</v>
      </c>
      <c r="P55" s="191">
        <f t="shared" si="5"/>
        <v>0</v>
      </c>
      <c r="Q55" s="191">
        <f t="shared" si="5"/>
        <v>0</v>
      </c>
      <c r="R55" s="191">
        <f t="shared" si="5"/>
        <v>0</v>
      </c>
      <c r="S55" s="191">
        <f t="shared" si="5"/>
        <v>-81827</v>
      </c>
      <c r="T55" s="275">
        <f>C55-E55-F55-G55-H55-I55-J55-K55-L55-M55-S55:S55</f>
        <v>0</v>
      </c>
    </row>
    <row r="56" spans="1:21">
      <c r="D56" s="22">
        <f>D3+C55</f>
        <v>613962431</v>
      </c>
      <c r="E56" s="22"/>
    </row>
    <row r="57" spans="1:21">
      <c r="D57" s="22"/>
      <c r="E57" s="22"/>
      <c r="T57" s="22"/>
    </row>
    <row r="59" spans="1:21" ht="18.75" customHeight="1">
      <c r="B59" s="250" t="s">
        <v>862</v>
      </c>
      <c r="C59" s="249"/>
      <c r="D59" s="22"/>
      <c r="E59" s="22"/>
      <c r="L59" s="22">
        <f>L55-Invoices!H54</f>
        <v>2280000</v>
      </c>
      <c r="S59"/>
    </row>
    <row r="60" spans="1:21">
      <c r="A60" s="220" t="s">
        <v>54</v>
      </c>
      <c r="B60" s="220" t="s">
        <v>5</v>
      </c>
      <c r="C60" s="221" t="s">
        <v>6</v>
      </c>
      <c r="D60" s="22"/>
      <c r="E60" s="22"/>
      <c r="S60"/>
    </row>
    <row r="61" spans="1:21">
      <c r="A61" s="220"/>
      <c r="B61" s="220" t="s">
        <v>340</v>
      </c>
      <c r="C61" s="222">
        <f>D3</f>
        <v>308522548</v>
      </c>
      <c r="D61" s="22"/>
      <c r="E61" s="22"/>
      <c r="S61"/>
    </row>
    <row r="62" spans="1:21">
      <c r="A62" s="223">
        <v>1</v>
      </c>
      <c r="B62" s="268" t="s">
        <v>344</v>
      </c>
      <c r="C62" s="285">
        <f>G55</f>
        <v>-90000000</v>
      </c>
      <c r="D62" s="22"/>
      <c r="E62" s="22"/>
      <c r="S62"/>
    </row>
    <row r="63" spans="1:21">
      <c r="A63" s="223">
        <v>2</v>
      </c>
      <c r="B63" s="268" t="s">
        <v>1479</v>
      </c>
      <c r="C63" s="285">
        <f>F55</f>
        <v>200000000</v>
      </c>
      <c r="D63" s="22"/>
      <c r="E63" s="22"/>
      <c r="S63"/>
    </row>
    <row r="64" spans="1:21">
      <c r="A64" s="223">
        <v>3</v>
      </c>
      <c r="B64" s="225" t="s">
        <v>101</v>
      </c>
      <c r="C64" s="285">
        <f>H55</f>
        <v>457330</v>
      </c>
      <c r="D64" s="22"/>
      <c r="E64" s="22"/>
      <c r="S64"/>
    </row>
    <row r="65" spans="1:19">
      <c r="A65" s="223">
        <v>4</v>
      </c>
      <c r="B65" s="225" t="s">
        <v>100</v>
      </c>
      <c r="C65" s="285">
        <f>I55</f>
        <v>46573380</v>
      </c>
      <c r="D65" s="22"/>
      <c r="E65" s="22"/>
      <c r="S65"/>
    </row>
    <row r="66" spans="1:19">
      <c r="A66" s="223">
        <v>5</v>
      </c>
      <c r="B66" s="225" t="s">
        <v>109</v>
      </c>
      <c r="C66" s="285">
        <f>J55</f>
        <v>880000</v>
      </c>
      <c r="D66" s="22"/>
      <c r="E66" s="22"/>
      <c r="S66"/>
    </row>
    <row r="67" spans="1:19">
      <c r="A67" s="223">
        <v>6</v>
      </c>
      <c r="B67" s="225" t="s">
        <v>53</v>
      </c>
      <c r="C67" s="285">
        <f>K55</f>
        <v>27930000</v>
      </c>
      <c r="D67" s="22"/>
      <c r="E67" s="22"/>
      <c r="S67"/>
    </row>
    <row r="68" spans="1:19">
      <c r="A68" s="223">
        <v>7</v>
      </c>
      <c r="B68" s="225" t="s">
        <v>108</v>
      </c>
      <c r="C68" s="285">
        <f>L55</f>
        <v>119681000</v>
      </c>
      <c r="D68" s="22"/>
      <c r="E68" s="22"/>
      <c r="R68"/>
      <c r="S68"/>
    </row>
    <row r="69" spans="1:19">
      <c r="A69" s="223">
        <v>8</v>
      </c>
      <c r="B69" s="225" t="s">
        <v>205</v>
      </c>
      <c r="C69" s="285">
        <f>O55</f>
        <v>0</v>
      </c>
      <c r="D69" s="22"/>
      <c r="E69" s="22"/>
      <c r="R69"/>
      <c r="S69"/>
    </row>
    <row r="70" spans="1:19">
      <c r="A70" s="223">
        <v>9</v>
      </c>
      <c r="B70" s="225" t="s">
        <v>467</v>
      </c>
      <c r="C70" s="286">
        <f>Q55</f>
        <v>0</v>
      </c>
      <c r="D70" s="22"/>
      <c r="E70" s="22"/>
      <c r="R70"/>
      <c r="S70"/>
    </row>
    <row r="71" spans="1:19">
      <c r="A71" s="223">
        <v>10</v>
      </c>
      <c r="B71" s="226" t="s">
        <v>249</v>
      </c>
      <c r="C71" s="285">
        <f>S55</f>
        <v>-81827</v>
      </c>
      <c r="D71" s="22"/>
      <c r="E71" s="22"/>
      <c r="R71"/>
      <c r="S71"/>
    </row>
    <row r="72" spans="1:19" ht="16.5" thickBot="1">
      <c r="A72" s="228"/>
      <c r="B72" s="237" t="s">
        <v>345</v>
      </c>
      <c r="C72" s="238">
        <f>SUM(C61:C71)</f>
        <v>613962431</v>
      </c>
      <c r="D72" s="22"/>
      <c r="E72" s="22"/>
      <c r="S72"/>
    </row>
    <row r="73" spans="1:19" ht="15.75" thickTop="1">
      <c r="D73" s="22"/>
      <c r="E73" s="22"/>
      <c r="S73"/>
    </row>
    <row r="74" spans="1:19">
      <c r="D74" s="22"/>
      <c r="E74" s="22"/>
      <c r="S74"/>
    </row>
    <row r="75" spans="1:19" ht="18.75" customHeight="1">
      <c r="B75" s="248" t="s">
        <v>863</v>
      </c>
      <c r="C75" s="248"/>
      <c r="D75" s="22"/>
      <c r="E75" s="22"/>
      <c r="S75"/>
    </row>
    <row r="76" spans="1:19">
      <c r="A76" s="220" t="s">
        <v>54</v>
      </c>
      <c r="B76" s="220" t="s">
        <v>5</v>
      </c>
      <c r="C76" s="221" t="s">
        <v>6</v>
      </c>
      <c r="D76" s="22"/>
      <c r="E76" s="22"/>
      <c r="S76"/>
    </row>
    <row r="77" spans="1:19">
      <c r="A77" s="220"/>
      <c r="B77" s="220" t="s">
        <v>340</v>
      </c>
      <c r="C77" s="222">
        <v>82535942</v>
      </c>
      <c r="D77" s="22"/>
      <c r="E77" s="22"/>
      <c r="S77"/>
    </row>
    <row r="78" spans="1:19">
      <c r="A78" s="223">
        <v>1</v>
      </c>
      <c r="B78" s="369" t="s">
        <v>652</v>
      </c>
      <c r="C78" s="224">
        <v>972842</v>
      </c>
      <c r="D78" s="22"/>
      <c r="E78" s="22"/>
      <c r="S78"/>
    </row>
    <row r="79" spans="1:19">
      <c r="A79" s="223">
        <v>2</v>
      </c>
      <c r="B79" s="369" t="s">
        <v>1480</v>
      </c>
      <c r="C79" s="224">
        <v>15466600</v>
      </c>
      <c r="D79" s="22"/>
      <c r="E79" s="22"/>
      <c r="S79"/>
    </row>
    <row r="80" spans="1:19">
      <c r="A80" s="232"/>
      <c r="B80" s="233"/>
      <c r="C80" s="227"/>
      <c r="D80" s="22"/>
      <c r="E80" s="22"/>
      <c r="S80"/>
    </row>
    <row r="81" spans="1:19" ht="16.5" thickBot="1">
      <c r="A81" s="228"/>
      <c r="B81" s="229" t="s">
        <v>345</v>
      </c>
      <c r="C81" s="230">
        <f>SUM(C77:C80)</f>
        <v>98975384</v>
      </c>
      <c r="D81" s="22"/>
      <c r="E81" s="22"/>
      <c r="S81"/>
    </row>
    <row r="82" spans="1:19" ht="15.75" thickTop="1">
      <c r="A82" s="22"/>
      <c r="B82" s="22"/>
      <c r="D82" s="22"/>
      <c r="E82" s="22"/>
      <c r="S82"/>
    </row>
    <row r="83" spans="1:19">
      <c r="A83" s="22"/>
      <c r="B83" s="22"/>
      <c r="D83" s="22"/>
      <c r="E83" s="22"/>
      <c r="S83"/>
    </row>
    <row r="84" spans="1:19" ht="18.75" customHeight="1">
      <c r="B84" s="248" t="s">
        <v>1481</v>
      </c>
      <c r="C84" s="248"/>
      <c r="D84" s="22"/>
      <c r="E84" s="22"/>
      <c r="S84"/>
    </row>
    <row r="85" spans="1:19">
      <c r="A85" s="220" t="s">
        <v>54</v>
      </c>
      <c r="B85" s="220" t="s">
        <v>5</v>
      </c>
      <c r="C85" s="221" t="s">
        <v>6</v>
      </c>
      <c r="D85" s="22"/>
      <c r="E85" s="22"/>
      <c r="S85"/>
    </row>
    <row r="86" spans="1:19">
      <c r="A86" s="220"/>
      <c r="B86" s="220" t="s">
        <v>340</v>
      </c>
      <c r="C86" s="222">
        <v>97587142</v>
      </c>
      <c r="D86" s="22"/>
      <c r="E86" s="22"/>
      <c r="S86"/>
    </row>
    <row r="87" spans="1:19">
      <c r="A87" s="223">
        <v>1</v>
      </c>
      <c r="B87" s="276" t="s">
        <v>648</v>
      </c>
      <c r="C87" s="224">
        <v>-60601558</v>
      </c>
      <c r="D87" s="22"/>
      <c r="E87" s="22"/>
      <c r="S87"/>
    </row>
    <row r="88" spans="1:19">
      <c r="A88" s="223">
        <v>2</v>
      </c>
      <c r="B88" s="276" t="s">
        <v>649</v>
      </c>
      <c r="C88" s="231">
        <v>-5450803</v>
      </c>
      <c r="D88" s="22"/>
      <c r="E88" s="22"/>
      <c r="S88"/>
    </row>
    <row r="89" spans="1:19" ht="15.75">
      <c r="A89" s="223">
        <v>3</v>
      </c>
      <c r="B89" s="234" t="s">
        <v>1482</v>
      </c>
      <c r="C89" s="231">
        <v>60000000</v>
      </c>
      <c r="D89" s="22"/>
      <c r="E89" s="22"/>
      <c r="S89"/>
    </row>
    <row r="90" spans="1:19" ht="15.75">
      <c r="A90" s="223">
        <v>4</v>
      </c>
      <c r="B90" s="234" t="s">
        <v>1483</v>
      </c>
      <c r="C90" s="231">
        <v>-5650000</v>
      </c>
      <c r="D90" s="22"/>
      <c r="E90" s="22"/>
      <c r="S90"/>
    </row>
    <row r="91" spans="1:19">
      <c r="A91" s="223">
        <v>9</v>
      </c>
      <c r="B91" s="233" t="s">
        <v>346</v>
      </c>
      <c r="C91" s="227">
        <v>-30000</v>
      </c>
      <c r="D91" s="22"/>
      <c r="E91" s="22"/>
      <c r="S91"/>
    </row>
    <row r="92" spans="1:19" ht="16.5" thickBot="1">
      <c r="A92" s="228"/>
      <c r="B92" s="229" t="s">
        <v>345</v>
      </c>
      <c r="C92" s="230">
        <f>SUM(C86:C91)</f>
        <v>85854781</v>
      </c>
      <c r="D92" s="22"/>
      <c r="E92" s="22"/>
      <c r="S92"/>
    </row>
    <row r="93" spans="1:19" ht="15.75" thickTop="1">
      <c r="D93" s="22"/>
      <c r="E93" s="22"/>
      <c r="S93"/>
    </row>
    <row r="94" spans="1:19">
      <c r="D94" s="22"/>
      <c r="E94" s="22"/>
      <c r="S94"/>
    </row>
    <row r="95" spans="1:19" ht="18.75" customHeight="1">
      <c r="B95" s="248" t="s">
        <v>647</v>
      </c>
      <c r="C95" s="248"/>
      <c r="D95" s="22"/>
      <c r="E95" s="22"/>
      <c r="S95"/>
    </row>
    <row r="96" spans="1:19">
      <c r="A96" s="220" t="s">
        <v>54</v>
      </c>
      <c r="B96" s="220" t="s">
        <v>5</v>
      </c>
      <c r="C96" s="221" t="s">
        <v>6</v>
      </c>
      <c r="D96" s="22"/>
      <c r="E96" s="22"/>
      <c r="S96"/>
    </row>
    <row r="97" spans="1:19">
      <c r="A97" s="220"/>
      <c r="B97" s="220" t="s">
        <v>340</v>
      </c>
      <c r="C97" s="222">
        <v>1855000</v>
      </c>
      <c r="D97" s="22"/>
      <c r="E97" s="22"/>
      <c r="S97"/>
    </row>
    <row r="98" spans="1:19">
      <c r="A98" s="223">
        <v>1</v>
      </c>
      <c r="B98" s="233" t="s">
        <v>346</v>
      </c>
      <c r="C98" s="227">
        <v>-30000</v>
      </c>
      <c r="D98" s="22"/>
      <c r="E98" s="22"/>
      <c r="S98"/>
    </row>
    <row r="99" spans="1:19">
      <c r="A99" s="232"/>
      <c r="B99" s="235"/>
      <c r="C99" s="236"/>
      <c r="D99" s="22"/>
      <c r="E99" s="22"/>
      <c r="S99"/>
    </row>
    <row r="100" spans="1:19" ht="16.5" thickBot="1">
      <c r="A100" s="228"/>
      <c r="B100" s="229" t="s">
        <v>345</v>
      </c>
      <c r="C100" s="230">
        <f>SUM(C97:C99)</f>
        <v>1825000</v>
      </c>
      <c r="D100" s="22"/>
      <c r="E100" s="22"/>
      <c r="S100"/>
    </row>
    <row r="101" spans="1:19" ht="15.75" thickTop="1">
      <c r="D101" s="22"/>
      <c r="E101" s="22"/>
      <c r="S101"/>
    </row>
    <row r="103" spans="1:19" ht="18.75">
      <c r="B103" s="248" t="s">
        <v>655</v>
      </c>
      <c r="C103" s="248"/>
    </row>
    <row r="104" spans="1:19">
      <c r="A104" s="220" t="s">
        <v>54</v>
      </c>
      <c r="B104" s="220" t="s">
        <v>5</v>
      </c>
      <c r="C104" s="221" t="s">
        <v>6</v>
      </c>
    </row>
    <row r="105" spans="1:19">
      <c r="A105" s="220"/>
      <c r="B105" s="220" t="s">
        <v>340</v>
      </c>
      <c r="C105" s="222">
        <v>10000</v>
      </c>
    </row>
    <row r="106" spans="1:19">
      <c r="A106" s="223">
        <v>1</v>
      </c>
      <c r="B106" s="276" t="s">
        <v>656</v>
      </c>
      <c r="C106" s="224">
        <v>300000000</v>
      </c>
    </row>
    <row r="107" spans="1:19">
      <c r="A107" s="223">
        <v>2</v>
      </c>
      <c r="B107" s="276" t="s">
        <v>657</v>
      </c>
      <c r="C107" s="231">
        <v>-300000000</v>
      </c>
    </row>
    <row r="108" spans="1:19" ht="15.75">
      <c r="A108" s="223">
        <v>3</v>
      </c>
      <c r="B108" s="234" t="s">
        <v>658</v>
      </c>
      <c r="C108" s="231">
        <v>4363646</v>
      </c>
    </row>
    <row r="109" spans="1:19" ht="15.75">
      <c r="A109" s="223">
        <v>4</v>
      </c>
      <c r="B109" s="234" t="s">
        <v>659</v>
      </c>
      <c r="C109" s="231">
        <v>2499804</v>
      </c>
    </row>
    <row r="110" spans="1:19" ht="15.75">
      <c r="A110" s="223">
        <v>5</v>
      </c>
      <c r="B110" s="234" t="s">
        <v>662</v>
      </c>
      <c r="C110" s="231">
        <v>2501575</v>
      </c>
    </row>
    <row r="111" spans="1:19" ht="15.75">
      <c r="A111" s="223">
        <v>6</v>
      </c>
      <c r="B111" s="234" t="s">
        <v>660</v>
      </c>
      <c r="C111" s="231">
        <v>500000000</v>
      </c>
    </row>
    <row r="112" spans="1:19" ht="15.75">
      <c r="A112" s="223">
        <v>7</v>
      </c>
      <c r="B112" s="234" t="s">
        <v>661</v>
      </c>
      <c r="C112" s="231">
        <v>-500000000</v>
      </c>
    </row>
    <row r="113" spans="1:4" ht="15.75">
      <c r="A113" s="223">
        <v>8</v>
      </c>
      <c r="B113" s="234" t="s">
        <v>663</v>
      </c>
      <c r="C113" s="231">
        <v>918275</v>
      </c>
    </row>
    <row r="114" spans="1:4">
      <c r="A114" s="223">
        <v>9</v>
      </c>
      <c r="B114" s="429" t="s">
        <v>664</v>
      </c>
      <c r="C114" s="227">
        <v>1354</v>
      </c>
    </row>
    <row r="115" spans="1:4" ht="16.5" thickBot="1">
      <c r="A115" s="228"/>
      <c r="B115" s="229" t="s">
        <v>345</v>
      </c>
      <c r="C115" s="230">
        <f>SUM(C105:C114)</f>
        <v>10294654</v>
      </c>
    </row>
    <row r="116" spans="1:4" ht="15.75" thickTop="1"/>
    <row r="117" spans="1:4" ht="18.75">
      <c r="B117" s="248" t="s">
        <v>686</v>
      </c>
      <c r="C117" s="248"/>
    </row>
    <row r="118" spans="1:4">
      <c r="A118" s="220" t="s">
        <v>54</v>
      </c>
      <c r="B118" s="220" t="s">
        <v>5</v>
      </c>
      <c r="C118" s="221" t="s">
        <v>6</v>
      </c>
    </row>
    <row r="119" spans="1:4">
      <c r="A119" s="220"/>
      <c r="B119" s="220" t="s">
        <v>340</v>
      </c>
      <c r="C119" s="222">
        <v>20435510</v>
      </c>
    </row>
    <row r="120" spans="1:4">
      <c r="A120" s="223">
        <v>1</v>
      </c>
      <c r="B120" s="276" t="s">
        <v>680</v>
      </c>
      <c r="C120" s="224">
        <v>-11101000</v>
      </c>
    </row>
    <row r="121" spans="1:4">
      <c r="A121" s="223">
        <v>2</v>
      </c>
      <c r="B121" s="276" t="s">
        <v>681</v>
      </c>
      <c r="C121" s="437">
        <v>34074000</v>
      </c>
    </row>
    <row r="122" spans="1:4" ht="15.75">
      <c r="A122" s="223">
        <v>3</v>
      </c>
      <c r="B122" s="234" t="s">
        <v>682</v>
      </c>
      <c r="C122" s="231">
        <v>-11280000</v>
      </c>
      <c r="D122" t="s">
        <v>687</v>
      </c>
    </row>
    <row r="123" spans="1:4" ht="15.75">
      <c r="A123" s="223">
        <v>4</v>
      </c>
      <c r="B123" s="234" t="s">
        <v>683</v>
      </c>
      <c r="C123" s="231">
        <v>26040000</v>
      </c>
    </row>
    <row r="124" spans="1:4" ht="15.75">
      <c r="A124" s="223">
        <v>5</v>
      </c>
      <c r="B124" s="234" t="s">
        <v>684</v>
      </c>
      <c r="C124" s="231">
        <v>-19950000</v>
      </c>
    </row>
    <row r="125" spans="1:4">
      <c r="A125" s="223">
        <v>6</v>
      </c>
      <c r="B125" s="233" t="s">
        <v>346</v>
      </c>
      <c r="C125" s="231">
        <v>-33000</v>
      </c>
    </row>
    <row r="126" spans="1:4" ht="16.5" thickBot="1">
      <c r="A126" s="228"/>
      <c r="B126" s="229" t="s">
        <v>345</v>
      </c>
      <c r="C126" s="230">
        <f>SUM(C119:C125)</f>
        <v>38185510</v>
      </c>
    </row>
    <row r="127" spans="1:4" ht="15.75" thickTop="1"/>
    <row r="145" spans="1:3" ht="37.5">
      <c r="B145" s="248" t="s">
        <v>540</v>
      </c>
      <c r="C145" s="248"/>
    </row>
    <row r="146" spans="1:3">
      <c r="A146" s="220" t="s">
        <v>54</v>
      </c>
      <c r="B146" s="220" t="s">
        <v>5</v>
      </c>
      <c r="C146" s="221" t="s">
        <v>6</v>
      </c>
    </row>
    <row r="147" spans="1:3">
      <c r="A147" s="223">
        <v>1</v>
      </c>
      <c r="B147" s="369" t="s">
        <v>530</v>
      </c>
      <c r="C147" s="224">
        <v>78346</v>
      </c>
    </row>
    <row r="148" spans="1:3">
      <c r="A148" s="223">
        <v>2</v>
      </c>
      <c r="B148" s="369" t="s">
        <v>531</v>
      </c>
      <c r="C148" s="224">
        <v>62820</v>
      </c>
    </row>
    <row r="149" spans="1:3">
      <c r="A149" s="223">
        <v>3</v>
      </c>
      <c r="B149" s="369" t="s">
        <v>532</v>
      </c>
      <c r="C149" s="224">
        <v>9411383</v>
      </c>
    </row>
    <row r="150" spans="1:3">
      <c r="A150" s="223">
        <v>4</v>
      </c>
      <c r="B150" s="369" t="s">
        <v>533</v>
      </c>
      <c r="C150" s="224">
        <v>92438</v>
      </c>
    </row>
    <row r="151" spans="1:3">
      <c r="A151" s="223">
        <v>5</v>
      </c>
      <c r="B151" s="226" t="s">
        <v>534</v>
      </c>
      <c r="C151" s="231">
        <v>-15000000</v>
      </c>
    </row>
    <row r="152" spans="1:3">
      <c r="A152" s="223">
        <v>6</v>
      </c>
      <c r="B152" s="226" t="s">
        <v>535</v>
      </c>
      <c r="C152" s="231">
        <f>1115173-234007</f>
        <v>881166</v>
      </c>
    </row>
    <row r="153" spans="1:3">
      <c r="A153" s="223">
        <v>7</v>
      </c>
      <c r="B153" s="226" t="s">
        <v>536</v>
      </c>
      <c r="C153" s="231">
        <v>13122254</v>
      </c>
    </row>
    <row r="154" spans="1:3">
      <c r="A154" s="223">
        <v>8</v>
      </c>
      <c r="B154" s="226" t="s">
        <v>537</v>
      </c>
      <c r="C154" s="231">
        <f>1254948-262990-27</f>
        <v>991931</v>
      </c>
    </row>
    <row r="155" spans="1:3">
      <c r="A155" s="223">
        <v>9</v>
      </c>
      <c r="B155" s="226" t="s">
        <v>538</v>
      </c>
      <c r="C155" s="231">
        <v>13501279</v>
      </c>
    </row>
    <row r="156" spans="1:3" ht="16.5" thickBot="1">
      <c r="A156" s="228"/>
      <c r="B156" s="229" t="s">
        <v>345</v>
      </c>
      <c r="C156" s="230">
        <f>SUM(C147:C155)</f>
        <v>23141617</v>
      </c>
    </row>
    <row r="157" spans="1:3" ht="15.75" thickTop="1"/>
    <row r="158" spans="1:3" ht="37.5">
      <c r="B158" s="248" t="s">
        <v>539</v>
      </c>
      <c r="C158" s="248"/>
    </row>
    <row r="159" spans="1:3">
      <c r="A159" s="220" t="s">
        <v>54</v>
      </c>
      <c r="B159" s="220" t="s">
        <v>5</v>
      </c>
      <c r="C159" s="221" t="s">
        <v>6</v>
      </c>
    </row>
    <row r="160" spans="1:3">
      <c r="A160" s="220"/>
      <c r="B160" s="220" t="s">
        <v>340</v>
      </c>
      <c r="C160" s="222">
        <v>131121280</v>
      </c>
    </row>
    <row r="161" spans="1:3">
      <c r="A161" s="223">
        <v>1</v>
      </c>
      <c r="B161" s="369" t="s">
        <v>530</v>
      </c>
      <c r="C161" s="224">
        <v>122359</v>
      </c>
    </row>
    <row r="162" spans="1:3">
      <c r="A162" s="223">
        <v>2</v>
      </c>
      <c r="B162" s="369" t="s">
        <v>531</v>
      </c>
      <c r="C162" s="224">
        <v>98220</v>
      </c>
    </row>
    <row r="163" spans="1:3">
      <c r="A163" s="223">
        <v>3</v>
      </c>
      <c r="B163" s="369" t="s">
        <v>532</v>
      </c>
      <c r="C163" s="224">
        <v>30923115</v>
      </c>
    </row>
    <row r="164" spans="1:3">
      <c r="A164" s="223">
        <v>4</v>
      </c>
      <c r="B164" s="226" t="s">
        <v>541</v>
      </c>
      <c r="C164" s="231">
        <v>-50000000</v>
      </c>
    </row>
    <row r="165" spans="1:3">
      <c r="A165" s="223">
        <v>5</v>
      </c>
      <c r="B165" s="369" t="s">
        <v>533</v>
      </c>
      <c r="C165" s="224">
        <v>150347</v>
      </c>
    </row>
    <row r="166" spans="1:3">
      <c r="A166" s="223">
        <v>6</v>
      </c>
      <c r="B166" s="226" t="s">
        <v>535</v>
      </c>
      <c r="C166" s="231">
        <f>5363477-1083695+798401</f>
        <v>5078183</v>
      </c>
    </row>
    <row r="167" spans="1:3">
      <c r="A167" s="223">
        <v>7</v>
      </c>
      <c r="B167" s="226" t="s">
        <v>542</v>
      </c>
      <c r="C167" s="231">
        <v>800000000</v>
      </c>
    </row>
    <row r="168" spans="1:3">
      <c r="A168" s="223">
        <v>8</v>
      </c>
      <c r="B168" s="226" t="s">
        <v>543</v>
      </c>
      <c r="C168" s="231">
        <v>-800035000</v>
      </c>
    </row>
    <row r="169" spans="1:3">
      <c r="A169" s="223">
        <v>9</v>
      </c>
      <c r="B169" s="226" t="s">
        <v>544</v>
      </c>
      <c r="C169" s="231">
        <v>200000000</v>
      </c>
    </row>
    <row r="170" spans="1:3">
      <c r="A170" s="223">
        <v>10</v>
      </c>
      <c r="B170" s="226" t="s">
        <v>545</v>
      </c>
      <c r="C170" s="231">
        <v>-151823000</v>
      </c>
    </row>
    <row r="171" spans="1:3">
      <c r="A171" s="223">
        <v>11</v>
      </c>
      <c r="B171" s="226" t="s">
        <v>546</v>
      </c>
      <c r="C171" s="231">
        <v>-50000000</v>
      </c>
    </row>
    <row r="172" spans="1:3">
      <c r="A172" s="223">
        <v>12</v>
      </c>
      <c r="B172" s="226" t="s">
        <v>547</v>
      </c>
      <c r="C172" s="231">
        <v>-20000000</v>
      </c>
    </row>
    <row r="173" spans="1:3">
      <c r="A173" s="223">
        <v>13</v>
      </c>
      <c r="B173" s="226" t="s">
        <v>548</v>
      </c>
      <c r="C173" s="231">
        <v>145968640</v>
      </c>
    </row>
    <row r="174" spans="1:3">
      <c r="A174" s="223">
        <v>14</v>
      </c>
      <c r="B174" s="226" t="s">
        <v>549</v>
      </c>
      <c r="C174" s="377">
        <v>-190000000</v>
      </c>
    </row>
    <row r="175" spans="1:3" ht="16.5" thickBot="1">
      <c r="A175" s="228"/>
      <c r="B175" s="229" t="s">
        <v>345</v>
      </c>
      <c r="C175" s="230">
        <f>SUM(C160:C174)</f>
        <v>51604144</v>
      </c>
    </row>
    <row r="176" spans="1:3" ht="15.75" thickTop="1"/>
    <row r="177" spans="1:3" ht="37.5">
      <c r="B177" s="248" t="s">
        <v>550</v>
      </c>
      <c r="C177" s="248"/>
    </row>
    <row r="178" spans="1:3">
      <c r="A178" s="220" t="s">
        <v>54</v>
      </c>
      <c r="B178" s="220" t="s">
        <v>5</v>
      </c>
      <c r="C178" s="221" t="s">
        <v>6</v>
      </c>
    </row>
    <row r="179" spans="1:3">
      <c r="A179" s="220"/>
      <c r="B179" s="220" t="s">
        <v>340</v>
      </c>
      <c r="C179" s="222">
        <v>12146178</v>
      </c>
    </row>
    <row r="180" spans="1:3">
      <c r="A180" s="223">
        <v>1</v>
      </c>
      <c r="B180" s="369" t="s">
        <v>530</v>
      </c>
      <c r="C180" s="224">
        <v>221363</v>
      </c>
    </row>
    <row r="181" spans="1:3">
      <c r="A181" s="223">
        <v>2</v>
      </c>
      <c r="B181" s="369" t="s">
        <v>551</v>
      </c>
      <c r="C181" s="224">
        <f>509270-116855-1000</f>
        <v>391415</v>
      </c>
    </row>
    <row r="182" spans="1:3">
      <c r="A182" s="223">
        <v>3</v>
      </c>
      <c r="B182" s="369" t="s">
        <v>553</v>
      </c>
      <c r="C182" s="224">
        <v>500000000</v>
      </c>
    </row>
    <row r="183" spans="1:3">
      <c r="A183" s="223">
        <v>4</v>
      </c>
      <c r="B183" s="226" t="s">
        <v>552</v>
      </c>
      <c r="C183" s="231">
        <v>-500000000</v>
      </c>
    </row>
    <row r="184" spans="1:3">
      <c r="A184" s="223">
        <v>5</v>
      </c>
      <c r="B184" s="369" t="s">
        <v>554</v>
      </c>
      <c r="C184" s="224">
        <f>1974206-397841</f>
        <v>1576365</v>
      </c>
    </row>
    <row r="185" spans="1:3">
      <c r="A185" s="223">
        <v>6</v>
      </c>
      <c r="B185" s="226" t="s">
        <v>555</v>
      </c>
      <c r="C185" s="231">
        <v>25000000</v>
      </c>
    </row>
    <row r="186" spans="1:3">
      <c r="A186" s="223">
        <v>7</v>
      </c>
      <c r="B186" s="226" t="s">
        <v>556</v>
      </c>
      <c r="C186" s="231">
        <v>-25000000</v>
      </c>
    </row>
    <row r="187" spans="1:3">
      <c r="A187" s="223">
        <v>8</v>
      </c>
      <c r="B187" s="226" t="s">
        <v>557</v>
      </c>
      <c r="C187" s="231">
        <f>30000000+50000000+30000000+30000000+50000000</f>
        <v>190000000</v>
      </c>
    </row>
    <row r="188" spans="1:3">
      <c r="A188" s="223">
        <v>9</v>
      </c>
      <c r="B188" s="226" t="s">
        <v>558</v>
      </c>
      <c r="C188" s="231">
        <f>752576-152515</f>
        <v>600061</v>
      </c>
    </row>
    <row r="189" spans="1:3">
      <c r="A189" s="223">
        <v>10</v>
      </c>
      <c r="B189" s="226" t="s">
        <v>559</v>
      </c>
      <c r="C189" s="231">
        <v>752547</v>
      </c>
    </row>
    <row r="190" spans="1:3">
      <c r="A190" s="223">
        <v>11</v>
      </c>
      <c r="B190" s="226" t="s">
        <v>560</v>
      </c>
      <c r="C190" s="231">
        <v>165000000</v>
      </c>
    </row>
    <row r="191" spans="1:3">
      <c r="A191" s="223">
        <v>12</v>
      </c>
      <c r="B191" s="226" t="s">
        <v>561</v>
      </c>
      <c r="C191" s="231">
        <v>739772</v>
      </c>
    </row>
    <row r="192" spans="1:3">
      <c r="A192" s="223">
        <v>13</v>
      </c>
      <c r="B192" s="226" t="s">
        <v>562</v>
      </c>
      <c r="C192" s="231">
        <v>65000000</v>
      </c>
    </row>
    <row r="193" spans="1:3">
      <c r="A193" s="223">
        <v>14</v>
      </c>
      <c r="B193" s="226" t="s">
        <v>564</v>
      </c>
      <c r="C193" s="231">
        <v>-20000000</v>
      </c>
    </row>
    <row r="194" spans="1:3">
      <c r="A194" s="223">
        <v>15</v>
      </c>
      <c r="B194" s="226" t="s">
        <v>563</v>
      </c>
      <c r="C194" s="231">
        <v>322080</v>
      </c>
    </row>
    <row r="195" spans="1:3">
      <c r="A195" s="223">
        <v>16</v>
      </c>
      <c r="B195" s="226" t="s">
        <v>565</v>
      </c>
      <c r="C195" s="231">
        <v>70000000</v>
      </c>
    </row>
    <row r="196" spans="1:3">
      <c r="A196" s="223">
        <v>17</v>
      </c>
      <c r="B196" s="226" t="s">
        <v>566</v>
      </c>
      <c r="C196" s="231">
        <f>-100000000+-250010000</f>
        <v>-350010000</v>
      </c>
    </row>
    <row r="197" spans="1:3" ht="16.5" thickBot="1">
      <c r="A197" s="223"/>
      <c r="B197" s="229" t="s">
        <v>345</v>
      </c>
      <c r="C197" s="230">
        <f>SUM(C179:C196)</f>
        <v>136739781</v>
      </c>
    </row>
    <row r="198" spans="1:3" ht="15.75" thickTop="1"/>
    <row r="200" spans="1:3" ht="37.5">
      <c r="B200" s="248" t="s">
        <v>567</v>
      </c>
      <c r="C200" s="248"/>
    </row>
    <row r="201" spans="1:3">
      <c r="A201" s="220" t="s">
        <v>54</v>
      </c>
      <c r="B201" s="220" t="s">
        <v>5</v>
      </c>
      <c r="C201" s="221" t="s">
        <v>6</v>
      </c>
    </row>
    <row r="202" spans="1:3">
      <c r="A202" s="220"/>
      <c r="B202" s="220" t="s">
        <v>340</v>
      </c>
      <c r="C202" s="222">
        <v>18994336</v>
      </c>
    </row>
    <row r="203" spans="1:3">
      <c r="A203" s="223">
        <v>1</v>
      </c>
      <c r="B203" s="369" t="s">
        <v>568</v>
      </c>
      <c r="C203" s="224">
        <f>329983-79994</f>
        <v>249989</v>
      </c>
    </row>
    <row r="204" spans="1:3">
      <c r="A204" s="223">
        <v>2</v>
      </c>
      <c r="B204" s="369"/>
      <c r="C204" s="224"/>
    </row>
    <row r="205" spans="1:3" ht="16.5" thickBot="1">
      <c r="A205" s="223"/>
      <c r="B205" s="229" t="s">
        <v>345</v>
      </c>
      <c r="C205" s="230">
        <f>SUM(C202:C204)</f>
        <v>19244325</v>
      </c>
    </row>
    <row r="206" spans="1:3" ht="15.75" thickTop="1"/>
  </sheetData>
  <mergeCells count="1">
    <mergeCell ref="A2:S2"/>
  </mergeCells>
  <pageMargins left="0.70866141732283472" right="0.70866141732283472" top="0.35433070866141736" bottom="0.74803149606299213" header="0.31496062992125984" footer="0.31496062992125984"/>
  <pageSetup paperSize="9" scale="87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pane ySplit="1" topLeftCell="A2" activePane="bottomLeft" state="frozen"/>
      <selection pane="bottomLeft" activeCell="F15" sqref="F15"/>
    </sheetView>
  </sheetViews>
  <sheetFormatPr defaultRowHeight="15"/>
  <cols>
    <col min="1" max="1" width="7.7109375" customWidth="1"/>
    <col min="2" max="2" width="3.85546875" bestFit="1" customWidth="1"/>
    <col min="3" max="3" width="17.5703125" bestFit="1" customWidth="1"/>
    <col min="4" max="4" width="11.42578125" bestFit="1" customWidth="1"/>
    <col min="5" max="5" width="13.140625" bestFit="1" customWidth="1"/>
    <col min="6" max="6" width="29.42578125" bestFit="1" customWidth="1"/>
    <col min="7" max="7" width="31.7109375" bestFit="1" customWidth="1"/>
    <col min="8" max="8" width="14.28515625" style="69" bestFit="1" customWidth="1"/>
    <col min="9" max="9" width="12.42578125" bestFit="1" customWidth="1"/>
    <col min="10" max="10" width="14.5703125" bestFit="1" customWidth="1"/>
  </cols>
  <sheetData>
    <row r="1" spans="2:9" s="29" customFormat="1" ht="15" customHeight="1">
      <c r="B1" s="39" t="s">
        <v>54</v>
      </c>
      <c r="C1" s="40" t="s">
        <v>46</v>
      </c>
      <c r="D1" s="40" t="s">
        <v>47</v>
      </c>
      <c r="E1" s="39" t="s">
        <v>55</v>
      </c>
      <c r="F1" s="39" t="s">
        <v>78</v>
      </c>
      <c r="G1" s="39" t="s">
        <v>56</v>
      </c>
      <c r="H1" s="68" t="s">
        <v>57</v>
      </c>
      <c r="I1" s="39" t="s">
        <v>39</v>
      </c>
    </row>
    <row r="2" spans="2:9" s="29" customFormat="1" ht="15" customHeight="1">
      <c r="B2" s="66"/>
      <c r="C2" s="67"/>
      <c r="D2" s="67"/>
      <c r="E2" s="66"/>
      <c r="F2" s="66"/>
      <c r="G2" s="66"/>
      <c r="H2" s="102"/>
      <c r="I2" s="66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Cashflow</vt:lpstr>
      <vt:lpstr>KK</vt:lpstr>
      <vt:lpstr>Rekap</vt:lpstr>
      <vt:lpstr>OOD</vt:lpstr>
      <vt:lpstr>Bills</vt:lpstr>
      <vt:lpstr>Invoices</vt:lpstr>
      <vt:lpstr>DP</vt:lpstr>
      <vt:lpstr>Bank</vt:lpstr>
      <vt:lpstr>OTA</vt:lpstr>
      <vt:lpstr>Kuitansi</vt:lpstr>
      <vt:lpstr>Jur-kum</vt:lpstr>
      <vt:lpstr>Jur total</vt:lpstr>
      <vt:lpstr>LR</vt:lpstr>
      <vt:lpstr>Neraca</vt:lpstr>
      <vt:lpstr>Bank!Print_Area</vt:lpstr>
      <vt:lpstr>Bills!Print_Area</vt:lpstr>
      <vt:lpstr>DP!Print_Area</vt:lpstr>
      <vt:lpstr>Invoices!Print_Area</vt:lpstr>
      <vt:lpstr>'Jur total'!Print_Area</vt:lpstr>
      <vt:lpstr>'Jur-kum'!Print_Area</vt:lpstr>
      <vt:lpstr>KK!Print_Area</vt:lpstr>
      <vt:lpstr>Kuitansi!Print_Area</vt:lpstr>
      <vt:lpstr>LR!Print_Area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2024-06-06T07:30:03Z</dcterms:modified>
</cp:coreProperties>
</file>