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925" yWindow="810" windowWidth="13095" windowHeight="6975" firstSheet="1" activeTab="2"/>
  </bookViews>
  <sheets>
    <sheet name="LRKom 2023" sheetId="1" r:id="rId1"/>
    <sheet name="LRKom 2024" sheetId="6" r:id="rId2"/>
    <sheet name="Compare LR 23&amp;24" sheetId="2" r:id="rId3"/>
    <sheet name="grafik analys" sheetId="3" r:id="rId4"/>
    <sheet name="comp data Sales " sheetId="5" r:id="rId5"/>
    <sheet name="Compare Biaya" sheetId="7" r:id="rId6"/>
    <sheet name="Biaya Renovasi Mushola" sheetId="8" r:id="rId7"/>
    <sheet name="Kasbon Karyawan" sheetId="9" r:id="rId8"/>
    <sheet name="biaya Sewa 2024" sheetId="10" r:id="rId9"/>
  </sheets>
  <externalReferences>
    <externalReference r:id="rId10"/>
  </externalReferences>
  <definedNames>
    <definedName name="_xlnm.Print_Area" localSheetId="6">'Biaya Renovasi Mushola'!$A$1:$F$27</definedName>
    <definedName name="_xlnm.Print_Area" localSheetId="4">'comp data Sales '!$A$2:$F$36</definedName>
    <definedName name="_xlnm.Print_Area" localSheetId="2">'Compare LR 23&amp;24'!$A$1:$M$33</definedName>
    <definedName name="_xlnm.Print_Area" localSheetId="3">'grafik analys'!$A$1:$J$71</definedName>
    <definedName name="_xlnm.Print_Area" localSheetId="0">'LRKom 2023'!$A$1:$Q$28</definedName>
    <definedName name="_xlnm.Print_Area" localSheetId="1">'LRKom 2024'!$A$1:$Q$29</definedName>
  </definedNames>
  <calcPr calcId="144525"/>
</workbook>
</file>

<file path=xl/calcChain.xml><?xml version="1.0" encoding="utf-8"?>
<calcChain xmlns="http://schemas.openxmlformats.org/spreadsheetml/2006/main">
  <c r="K31" i="2" l="1"/>
  <c r="K21" i="2"/>
  <c r="K20" i="2"/>
  <c r="K16" i="2"/>
  <c r="K15" i="2"/>
  <c r="F33" i="6"/>
  <c r="E33" i="6"/>
  <c r="D41" i="6"/>
  <c r="E41" i="6"/>
  <c r="F41" i="6"/>
  <c r="C41" i="6"/>
  <c r="C33" i="6"/>
  <c r="B33" i="6"/>
  <c r="B41" i="6"/>
  <c r="F14" i="6"/>
  <c r="F26" i="6"/>
  <c r="F15" i="6"/>
  <c r="F19" i="6"/>
  <c r="F20" i="6"/>
  <c r="M6" i="2" l="1"/>
  <c r="M7" i="2"/>
  <c r="M8" i="2"/>
  <c r="M9" i="2"/>
  <c r="M11" i="2"/>
  <c r="M12" i="2"/>
  <c r="M14" i="2"/>
  <c r="M16" i="2"/>
  <c r="M17" i="2"/>
  <c r="M18" i="2"/>
  <c r="M19" i="2"/>
  <c r="M20" i="2"/>
  <c r="M21" i="2"/>
  <c r="M22" i="2"/>
  <c r="M23" i="2"/>
  <c r="M24" i="2"/>
  <c r="M25" i="2"/>
  <c r="M26" i="2"/>
  <c r="M5" i="2"/>
  <c r="L6" i="2"/>
  <c r="L7" i="2"/>
  <c r="L8" i="2"/>
  <c r="L9" i="2"/>
  <c r="L11" i="2"/>
  <c r="L12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5" i="2"/>
  <c r="H33" i="2"/>
  <c r="I33" i="2"/>
  <c r="H32" i="2"/>
  <c r="I32" i="2"/>
  <c r="H31" i="2"/>
  <c r="I31" i="2"/>
  <c r="J27" i="2"/>
  <c r="L27" i="2" s="1"/>
  <c r="K27" i="2"/>
  <c r="I10" i="2"/>
  <c r="J10" i="2"/>
  <c r="L10" i="2" s="1"/>
  <c r="K10" i="2"/>
  <c r="M10" i="2" s="1"/>
  <c r="J13" i="2" l="1"/>
  <c r="K13" i="2"/>
  <c r="G22" i="10"/>
  <c r="C22" i="10"/>
  <c r="C25" i="10"/>
  <c r="C16" i="10"/>
  <c r="G11" i="10"/>
  <c r="J31" i="2" l="1"/>
  <c r="L13" i="2"/>
  <c r="J28" i="2"/>
  <c r="L28" i="2" s="1"/>
  <c r="M13" i="2"/>
  <c r="K28" i="2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4" i="9"/>
  <c r="E14" i="6" l="1"/>
  <c r="I15" i="2" s="1"/>
  <c r="I21" i="2" l="1"/>
  <c r="I20" i="2"/>
  <c r="I16" i="2"/>
  <c r="G21" i="2"/>
  <c r="G20" i="2"/>
  <c r="G16" i="2"/>
  <c r="E21" i="2"/>
  <c r="E20" i="2"/>
  <c r="E16" i="2"/>
  <c r="C16" i="2"/>
  <c r="C21" i="2" l="1"/>
  <c r="C20" i="2"/>
  <c r="F14" i="8" l="1"/>
  <c r="F13" i="8"/>
  <c r="F12" i="8"/>
  <c r="F15" i="8" s="1"/>
  <c r="C26" i="8"/>
  <c r="C18" i="8" l="1"/>
  <c r="M8" i="7" l="1"/>
  <c r="N4" i="7" l="1"/>
  <c r="N3" i="7"/>
  <c r="K33" i="6" l="1"/>
  <c r="L33" i="6"/>
  <c r="M33" i="6"/>
  <c r="N33" i="6"/>
  <c r="O33" i="6"/>
  <c r="P33" i="6"/>
  <c r="K34" i="6"/>
  <c r="L34" i="6"/>
  <c r="M34" i="6"/>
  <c r="N34" i="6"/>
  <c r="O34" i="6"/>
  <c r="P34" i="6"/>
  <c r="K35" i="6"/>
  <c r="L35" i="6"/>
  <c r="M35" i="6"/>
  <c r="N35" i="6"/>
  <c r="O35" i="6"/>
  <c r="P35" i="6"/>
  <c r="K36" i="6"/>
  <c r="L36" i="6"/>
  <c r="M36" i="6"/>
  <c r="N36" i="6"/>
  <c r="O36" i="6"/>
  <c r="P36" i="6"/>
  <c r="K38" i="6"/>
  <c r="L38" i="6"/>
  <c r="M38" i="6"/>
  <c r="N38" i="6"/>
  <c r="O38" i="6"/>
  <c r="P38" i="6"/>
  <c r="K40" i="6"/>
  <c r="L40" i="6"/>
  <c r="M40" i="6"/>
  <c r="N40" i="6"/>
  <c r="O40" i="6"/>
  <c r="P40" i="6"/>
  <c r="E20" i="6"/>
  <c r="E19" i="6"/>
  <c r="E26" i="6"/>
  <c r="D19" i="6"/>
  <c r="D20" i="6" l="1"/>
  <c r="D15" i="6"/>
  <c r="C15" i="6"/>
  <c r="D27" i="2" l="1"/>
  <c r="F27" i="2"/>
  <c r="B27" i="2"/>
  <c r="C20" i="6"/>
  <c r="C19" i="6"/>
  <c r="C9" i="6"/>
  <c r="B20" i="6"/>
  <c r="B19" i="6"/>
  <c r="B15" i="6"/>
  <c r="C38" i="6" l="1"/>
  <c r="D34" i="6"/>
  <c r="C34" i="6"/>
  <c r="B34" i="6"/>
  <c r="P41" i="6"/>
  <c r="O41" i="6"/>
  <c r="N41" i="6"/>
  <c r="M41" i="6"/>
  <c r="L41" i="6"/>
  <c r="K41" i="6"/>
  <c r="G41" i="6"/>
  <c r="G26" i="6" s="1"/>
  <c r="D14" i="6"/>
  <c r="B14" i="6"/>
  <c r="C15" i="2" s="1"/>
  <c r="H27" i="6"/>
  <c r="Q27" i="6" s="1"/>
  <c r="H24" i="6"/>
  <c r="Q24" i="6" s="1"/>
  <c r="H23" i="6"/>
  <c r="Q23" i="6" s="1"/>
  <c r="H22" i="6"/>
  <c r="Q22" i="6" s="1"/>
  <c r="H21" i="6"/>
  <c r="Q21" i="6" s="1"/>
  <c r="H20" i="6"/>
  <c r="Q20" i="6" s="1"/>
  <c r="H19" i="6"/>
  <c r="Q19" i="6" s="1"/>
  <c r="H18" i="6"/>
  <c r="Q18" i="6" s="1"/>
  <c r="H17" i="6"/>
  <c r="Q17" i="6" s="1"/>
  <c r="H16" i="6"/>
  <c r="Q16" i="6" s="1"/>
  <c r="H15" i="6"/>
  <c r="Q15" i="6" s="1"/>
  <c r="H13" i="6"/>
  <c r="Q13" i="6" s="1"/>
  <c r="H11" i="6"/>
  <c r="Q11" i="6" s="1"/>
  <c r="H10" i="6"/>
  <c r="Q10" i="6" s="1"/>
  <c r="H8" i="6"/>
  <c r="Q8" i="6" s="1"/>
  <c r="H7" i="6"/>
  <c r="Q7" i="6" s="1"/>
  <c r="H6" i="6"/>
  <c r="Q6" i="6" s="1"/>
  <c r="H5" i="6"/>
  <c r="Q5" i="6" s="1"/>
  <c r="P9" i="6"/>
  <c r="P12" i="6" s="1"/>
  <c r="O9" i="6"/>
  <c r="O12" i="6" s="1"/>
  <c r="N9" i="6"/>
  <c r="N12" i="6" s="1"/>
  <c r="M9" i="6"/>
  <c r="M12" i="6" s="1"/>
  <c r="L9" i="6"/>
  <c r="L12" i="6" s="1"/>
  <c r="K9" i="6"/>
  <c r="K12" i="6" s="1"/>
  <c r="G9" i="6"/>
  <c r="G12" i="6" s="1"/>
  <c r="G28" i="6" s="1"/>
  <c r="F9" i="6"/>
  <c r="F12" i="6" s="1"/>
  <c r="F28" i="6" s="1"/>
  <c r="E9" i="6"/>
  <c r="E12" i="6" s="1"/>
  <c r="E28" i="6" s="1"/>
  <c r="D9" i="6"/>
  <c r="D12" i="6" s="1"/>
  <c r="C12" i="6"/>
  <c r="B9" i="6"/>
  <c r="B12" i="6" s="1"/>
  <c r="I13" i="2"/>
  <c r="C27" i="2" l="1"/>
  <c r="K34" i="2"/>
  <c r="K33" i="2"/>
  <c r="C14" i="6"/>
  <c r="E15" i="2" s="1"/>
  <c r="G15" i="2"/>
  <c r="D26" i="6"/>
  <c r="D28" i="6" s="1"/>
  <c r="K32" i="2"/>
  <c r="I27" i="2"/>
  <c r="K26" i="6"/>
  <c r="K28" i="6" s="1"/>
  <c r="L26" i="6"/>
  <c r="L28" i="6" s="1"/>
  <c r="M26" i="6"/>
  <c r="M28" i="6" s="1"/>
  <c r="N26" i="6"/>
  <c r="N28" i="6" s="1"/>
  <c r="O26" i="6"/>
  <c r="O28" i="6" s="1"/>
  <c r="P26" i="6"/>
  <c r="P28" i="6" s="1"/>
  <c r="H4" i="6"/>
  <c r="B26" i="6"/>
  <c r="B28" i="6" s="1"/>
  <c r="H14" i="6"/>
  <c r="I28" i="2"/>
  <c r="M15" i="2" l="1"/>
  <c r="C26" i="6"/>
  <c r="C28" i="6" s="1"/>
  <c r="H26" i="6"/>
  <c r="Q14" i="6"/>
  <c r="Q26" i="6" s="1"/>
  <c r="H9" i="6"/>
  <c r="H12" i="6" s="1"/>
  <c r="H28" i="6" s="1"/>
  <c r="Q4" i="6"/>
  <c r="Q9" i="6" s="1"/>
  <c r="Q12" i="6" s="1"/>
  <c r="Q28" i="6" s="1"/>
  <c r="Q29" i="6" s="1"/>
  <c r="D62" i="3" l="1"/>
  <c r="D63" i="3"/>
  <c r="D64" i="3"/>
  <c r="D65" i="3"/>
  <c r="D66" i="3"/>
  <c r="D67" i="3"/>
  <c r="D68" i="3"/>
  <c r="D69" i="3"/>
  <c r="D61" i="3"/>
  <c r="C70" i="3" l="1"/>
  <c r="D70" i="3"/>
  <c r="B70" i="3"/>
  <c r="D10" i="2" l="1"/>
  <c r="D13" i="2" s="1"/>
  <c r="E10" i="2"/>
  <c r="E13" i="2" s="1"/>
  <c r="F10" i="2"/>
  <c r="F13" i="2" s="1"/>
  <c r="B10" i="2"/>
  <c r="P40" i="1"/>
  <c r="O40" i="1"/>
  <c r="N40" i="1"/>
  <c r="M40" i="1"/>
  <c r="L40" i="1"/>
  <c r="K40" i="1"/>
  <c r="G40" i="1"/>
  <c r="F40" i="1"/>
  <c r="E40" i="1"/>
  <c r="D40" i="1"/>
  <c r="C40" i="1"/>
  <c r="B40" i="1"/>
  <c r="P39" i="1"/>
  <c r="O39" i="1"/>
  <c r="N39" i="1"/>
  <c r="M39" i="1"/>
  <c r="L39" i="1"/>
  <c r="K39" i="1"/>
  <c r="G39" i="1"/>
  <c r="F39" i="1"/>
  <c r="E39" i="1"/>
  <c r="D39" i="1"/>
  <c r="C39" i="1"/>
  <c r="B39" i="1"/>
  <c r="P37" i="1"/>
  <c r="O37" i="1"/>
  <c r="N37" i="1"/>
  <c r="M37" i="1"/>
  <c r="L37" i="1"/>
  <c r="K37" i="1"/>
  <c r="G37" i="1"/>
  <c r="F37" i="1"/>
  <c r="E37" i="1"/>
  <c r="D37" i="1"/>
  <c r="C37" i="1"/>
  <c r="B37" i="1"/>
  <c r="P35" i="1"/>
  <c r="O35" i="1"/>
  <c r="N35" i="1"/>
  <c r="M35" i="1"/>
  <c r="L35" i="1"/>
  <c r="K35" i="1"/>
  <c r="G35" i="1"/>
  <c r="F35" i="1"/>
  <c r="E35" i="1"/>
  <c r="D35" i="1"/>
  <c r="C35" i="1"/>
  <c r="B35" i="1"/>
  <c r="P34" i="1"/>
  <c r="O34" i="1"/>
  <c r="N34" i="1"/>
  <c r="M34" i="1"/>
  <c r="L34" i="1"/>
  <c r="K34" i="1"/>
  <c r="G34" i="1"/>
  <c r="F34" i="1"/>
  <c r="E34" i="1"/>
  <c r="D34" i="1"/>
  <c r="C34" i="1"/>
  <c r="B34" i="1"/>
  <c r="P33" i="1"/>
  <c r="O33" i="1"/>
  <c r="N33" i="1"/>
  <c r="M33" i="1"/>
  <c r="L33" i="1"/>
  <c r="K33" i="1"/>
  <c r="G33" i="1"/>
  <c r="F33" i="1"/>
  <c r="E33" i="1"/>
  <c r="D33" i="1"/>
  <c r="C33" i="1"/>
  <c r="B33" i="1"/>
  <c r="P32" i="1"/>
  <c r="P41" i="1" s="1"/>
  <c r="P14" i="1" s="1"/>
  <c r="O32" i="1"/>
  <c r="O41" i="1" s="1"/>
  <c r="O14" i="1" s="1"/>
  <c r="N32" i="1"/>
  <c r="N41" i="1" s="1"/>
  <c r="N14" i="1" s="1"/>
  <c r="M32" i="1"/>
  <c r="M41" i="1" s="1"/>
  <c r="M14" i="1" s="1"/>
  <c r="L32" i="1"/>
  <c r="L41" i="1" s="1"/>
  <c r="L14" i="1" s="1"/>
  <c r="K32" i="1"/>
  <c r="K41" i="1" s="1"/>
  <c r="K14" i="1" s="1"/>
  <c r="G32" i="1"/>
  <c r="G41" i="1" s="1"/>
  <c r="G14" i="1" s="1"/>
  <c r="F32" i="1"/>
  <c r="F41" i="1" s="1"/>
  <c r="F14" i="1" s="1"/>
  <c r="E32" i="1"/>
  <c r="E41" i="1" s="1"/>
  <c r="E14" i="1" s="1"/>
  <c r="H15" i="2" s="1"/>
  <c r="D32" i="1"/>
  <c r="D41" i="1" s="1"/>
  <c r="D14" i="1" s="1"/>
  <c r="C32" i="1"/>
  <c r="C41" i="1" s="1"/>
  <c r="C14" i="1" s="1"/>
  <c r="B32" i="1"/>
  <c r="B41" i="1" s="1"/>
  <c r="B14" i="1" s="1"/>
  <c r="H26" i="1"/>
  <c r="Q26" i="1" s="1"/>
  <c r="P24" i="1"/>
  <c r="H24" i="1"/>
  <c r="Q24" i="1" s="1"/>
  <c r="P23" i="1"/>
  <c r="O23" i="1"/>
  <c r="N23" i="1"/>
  <c r="M23" i="1"/>
  <c r="L23" i="1"/>
  <c r="K23" i="1"/>
  <c r="G23" i="1"/>
  <c r="F23" i="1"/>
  <c r="E23" i="1"/>
  <c r="H26" i="2" s="1"/>
  <c r="D23" i="1"/>
  <c r="C23" i="1"/>
  <c r="B23" i="1"/>
  <c r="H23" i="1" s="1"/>
  <c r="Q23" i="1" s="1"/>
  <c r="P22" i="1"/>
  <c r="O22" i="1"/>
  <c r="N22" i="1"/>
  <c r="M22" i="1"/>
  <c r="L22" i="1"/>
  <c r="K22" i="1"/>
  <c r="G22" i="1"/>
  <c r="F22" i="1"/>
  <c r="E22" i="1"/>
  <c r="H23" i="2" s="1"/>
  <c r="D22" i="1"/>
  <c r="C22" i="1"/>
  <c r="B22" i="1"/>
  <c r="H22" i="1" s="1"/>
  <c r="Q22" i="1" s="1"/>
  <c r="P21" i="1"/>
  <c r="O21" i="1"/>
  <c r="N21" i="1"/>
  <c r="M21" i="1"/>
  <c r="L21" i="1"/>
  <c r="K21" i="1"/>
  <c r="G21" i="1"/>
  <c r="F21" i="1"/>
  <c r="E21" i="1"/>
  <c r="H22" i="2" s="1"/>
  <c r="D21" i="1"/>
  <c r="C21" i="1"/>
  <c r="B21" i="1"/>
  <c r="H21" i="1" s="1"/>
  <c r="Q21" i="1" s="1"/>
  <c r="P20" i="1"/>
  <c r="O20" i="1"/>
  <c r="N20" i="1"/>
  <c r="M20" i="1"/>
  <c r="L20" i="1"/>
  <c r="K20" i="1"/>
  <c r="G20" i="1"/>
  <c r="F20" i="1"/>
  <c r="E20" i="1"/>
  <c r="H21" i="2" s="1"/>
  <c r="D20" i="1"/>
  <c r="C20" i="1"/>
  <c r="B20" i="1"/>
  <c r="H20" i="1" s="1"/>
  <c r="Q20" i="1" s="1"/>
  <c r="P19" i="1"/>
  <c r="O19" i="1"/>
  <c r="N19" i="1"/>
  <c r="M19" i="1"/>
  <c r="L19" i="1"/>
  <c r="K19" i="1"/>
  <c r="G19" i="1"/>
  <c r="F19" i="1"/>
  <c r="E19" i="1"/>
  <c r="H20" i="2" s="1"/>
  <c r="D19" i="1"/>
  <c r="C19" i="1"/>
  <c r="B19" i="1"/>
  <c r="H19" i="1" s="1"/>
  <c r="Q19" i="1" s="1"/>
  <c r="P18" i="1"/>
  <c r="O18" i="1"/>
  <c r="N18" i="1"/>
  <c r="M18" i="1"/>
  <c r="L18" i="1"/>
  <c r="K18" i="1"/>
  <c r="G18" i="1"/>
  <c r="F18" i="1"/>
  <c r="E18" i="1"/>
  <c r="H19" i="2" s="1"/>
  <c r="D18" i="1"/>
  <c r="C18" i="1"/>
  <c r="B18" i="1"/>
  <c r="H18" i="1" s="1"/>
  <c r="Q18" i="1" s="1"/>
  <c r="P17" i="1"/>
  <c r="O17" i="1"/>
  <c r="N17" i="1"/>
  <c r="M17" i="1"/>
  <c r="L17" i="1"/>
  <c r="K17" i="1"/>
  <c r="G17" i="1"/>
  <c r="F17" i="1"/>
  <c r="E17" i="1"/>
  <c r="H18" i="2" s="1"/>
  <c r="D17" i="1"/>
  <c r="C17" i="1"/>
  <c r="B17" i="1"/>
  <c r="H17" i="1" s="1"/>
  <c r="Q17" i="1" s="1"/>
  <c r="P16" i="1"/>
  <c r="O16" i="1"/>
  <c r="N16" i="1"/>
  <c r="M16" i="1"/>
  <c r="L16" i="1"/>
  <c r="K16" i="1"/>
  <c r="G16" i="1"/>
  <c r="F16" i="1"/>
  <c r="E16" i="1"/>
  <c r="H17" i="2" s="1"/>
  <c r="D16" i="1"/>
  <c r="C16" i="1"/>
  <c r="B16" i="1"/>
  <c r="H16" i="1" s="1"/>
  <c r="Q16" i="1" s="1"/>
  <c r="P15" i="1"/>
  <c r="O15" i="1"/>
  <c r="N15" i="1"/>
  <c r="M15" i="1"/>
  <c r="L15" i="1"/>
  <c r="K15" i="1"/>
  <c r="G15" i="1"/>
  <c r="F15" i="1"/>
  <c r="E15" i="1"/>
  <c r="H16" i="2" s="1"/>
  <c r="D15" i="1"/>
  <c r="C15" i="1"/>
  <c r="B15" i="1"/>
  <c r="H15" i="1" s="1"/>
  <c r="Q15" i="1" s="1"/>
  <c r="H13" i="1"/>
  <c r="Q13" i="1" s="1"/>
  <c r="P11" i="1"/>
  <c r="O11" i="1"/>
  <c r="N11" i="1"/>
  <c r="M11" i="1"/>
  <c r="L11" i="1"/>
  <c r="K11" i="1"/>
  <c r="G11" i="1"/>
  <c r="F11" i="1"/>
  <c r="E11" i="1"/>
  <c r="H12" i="2" s="1"/>
  <c r="D11" i="1"/>
  <c r="C11" i="1"/>
  <c r="B11" i="1"/>
  <c r="H11" i="1" s="1"/>
  <c r="Q11" i="1" s="1"/>
  <c r="P10" i="1"/>
  <c r="O10" i="1"/>
  <c r="N10" i="1"/>
  <c r="M10" i="1"/>
  <c r="L10" i="1"/>
  <c r="K10" i="1"/>
  <c r="G10" i="1"/>
  <c r="F10" i="1"/>
  <c r="E10" i="1"/>
  <c r="H11" i="2" s="1"/>
  <c r="D10" i="1"/>
  <c r="C10" i="1"/>
  <c r="B10" i="1"/>
  <c r="H10" i="1" s="1"/>
  <c r="Q10" i="1" s="1"/>
  <c r="P8" i="1"/>
  <c r="O8" i="1"/>
  <c r="N8" i="1"/>
  <c r="M8" i="1"/>
  <c r="L8" i="1"/>
  <c r="K8" i="1"/>
  <c r="G8" i="1"/>
  <c r="F8" i="1"/>
  <c r="E8" i="1"/>
  <c r="H9" i="2" s="1"/>
  <c r="D8" i="1"/>
  <c r="C8" i="1"/>
  <c r="B8" i="1"/>
  <c r="H8" i="1" s="1"/>
  <c r="Q8" i="1" s="1"/>
  <c r="P7" i="1"/>
  <c r="O7" i="1"/>
  <c r="N7" i="1"/>
  <c r="M7" i="1"/>
  <c r="L7" i="1"/>
  <c r="K7" i="1"/>
  <c r="G7" i="1"/>
  <c r="F7" i="1"/>
  <c r="E7" i="1"/>
  <c r="H8" i="2" s="1"/>
  <c r="D7" i="1"/>
  <c r="C7" i="1"/>
  <c r="B7" i="1"/>
  <c r="H7" i="1" s="1"/>
  <c r="Q7" i="1" s="1"/>
  <c r="P6" i="1"/>
  <c r="O6" i="1"/>
  <c r="N6" i="1"/>
  <c r="M6" i="1"/>
  <c r="L6" i="1"/>
  <c r="K6" i="1"/>
  <c r="G6" i="1"/>
  <c r="F6" i="1"/>
  <c r="E6" i="1"/>
  <c r="H7" i="2" s="1"/>
  <c r="D6" i="1"/>
  <c r="C6" i="1"/>
  <c r="B6" i="1"/>
  <c r="H6" i="1" s="1"/>
  <c r="Q6" i="1" s="1"/>
  <c r="P5" i="1"/>
  <c r="O5" i="1"/>
  <c r="N5" i="1"/>
  <c r="M5" i="1"/>
  <c r="L5" i="1"/>
  <c r="K5" i="1"/>
  <c r="G5" i="1"/>
  <c r="F5" i="1"/>
  <c r="E5" i="1"/>
  <c r="H6" i="2" s="1"/>
  <c r="D5" i="1"/>
  <c r="C5" i="1"/>
  <c r="B5" i="1"/>
  <c r="H5" i="1" s="1"/>
  <c r="Q5" i="1" s="1"/>
  <c r="P4" i="1"/>
  <c r="P9" i="1" s="1"/>
  <c r="P12" i="1" s="1"/>
  <c r="O4" i="1"/>
  <c r="O9" i="1" s="1"/>
  <c r="O12" i="1" s="1"/>
  <c r="N4" i="1"/>
  <c r="N9" i="1" s="1"/>
  <c r="N12" i="1" s="1"/>
  <c r="M4" i="1"/>
  <c r="M9" i="1" s="1"/>
  <c r="M12" i="1" s="1"/>
  <c r="L4" i="1"/>
  <c r="L9" i="1" s="1"/>
  <c r="L12" i="1" s="1"/>
  <c r="K4" i="1"/>
  <c r="K9" i="1" s="1"/>
  <c r="K12" i="1" s="1"/>
  <c r="G4" i="1"/>
  <c r="G9" i="1" s="1"/>
  <c r="G12" i="1" s="1"/>
  <c r="F4" i="1"/>
  <c r="F9" i="1" s="1"/>
  <c r="F12" i="1" s="1"/>
  <c r="E4" i="1"/>
  <c r="D4" i="1"/>
  <c r="D9" i="1" s="1"/>
  <c r="D12" i="1" s="1"/>
  <c r="C4" i="1"/>
  <c r="C9" i="1" s="1"/>
  <c r="C12" i="1" s="1"/>
  <c r="B4" i="1"/>
  <c r="B9" i="1" s="1"/>
  <c r="B12" i="1" s="1"/>
  <c r="F34" i="2" l="1"/>
  <c r="F33" i="2"/>
  <c r="E34" i="2"/>
  <c r="E33" i="2"/>
  <c r="D34" i="2"/>
  <c r="D33" i="2"/>
  <c r="F28" i="2"/>
  <c r="G7" i="3" s="1"/>
  <c r="F32" i="2"/>
  <c r="F31" i="2"/>
  <c r="D32" i="2"/>
  <c r="D31" i="2"/>
  <c r="E27" i="2"/>
  <c r="E31" i="2"/>
  <c r="E32" i="2"/>
  <c r="C10" i="2"/>
  <c r="B13" i="2"/>
  <c r="H27" i="2"/>
  <c r="E9" i="1"/>
  <c r="E12" i="1" s="1"/>
  <c r="H5" i="2"/>
  <c r="C25" i="1"/>
  <c r="C27" i="1" s="1"/>
  <c r="D25" i="1"/>
  <c r="D27" i="1" s="1"/>
  <c r="E25" i="1"/>
  <c r="E27" i="1" s="1"/>
  <c r="F25" i="1"/>
  <c r="F27" i="1" s="1"/>
  <c r="G25" i="1"/>
  <c r="G27" i="1" s="1"/>
  <c r="K25" i="1"/>
  <c r="K27" i="1" s="1"/>
  <c r="L25" i="1"/>
  <c r="L27" i="1" s="1"/>
  <c r="M25" i="1"/>
  <c r="M27" i="1" s="1"/>
  <c r="N25" i="1"/>
  <c r="N27" i="1" s="1"/>
  <c r="O25" i="1"/>
  <c r="O27" i="1" s="1"/>
  <c r="P25" i="1"/>
  <c r="P27" i="1" s="1"/>
  <c r="D28" i="2"/>
  <c r="G6" i="3" s="1"/>
  <c r="H4" i="1"/>
  <c r="B25" i="1"/>
  <c r="B27" i="1" s="1"/>
  <c r="H14" i="1"/>
  <c r="E28" i="2" l="1"/>
  <c r="H6" i="3" s="1"/>
  <c r="B34" i="2"/>
  <c r="B33" i="2"/>
  <c r="B32" i="2"/>
  <c r="B31" i="2"/>
  <c r="H10" i="2"/>
  <c r="B28" i="2"/>
  <c r="C13" i="2"/>
  <c r="H25" i="1"/>
  <c r="Q14" i="1"/>
  <c r="Q25" i="1" s="1"/>
  <c r="H9" i="1"/>
  <c r="H12" i="1" s="1"/>
  <c r="H27" i="1" s="1"/>
  <c r="Q4" i="1"/>
  <c r="Q9" i="1" s="1"/>
  <c r="Q12" i="1" s="1"/>
  <c r="Q27" i="1" s="1"/>
  <c r="Q28" i="1" s="1"/>
  <c r="C34" i="2" l="1"/>
  <c r="C33" i="2"/>
  <c r="C28" i="2"/>
  <c r="C31" i="2"/>
  <c r="C32" i="2"/>
  <c r="G5" i="3"/>
  <c r="H13" i="2"/>
  <c r="J34" i="2" l="1"/>
  <c r="J33" i="2"/>
  <c r="J32" i="2"/>
  <c r="H28" i="2"/>
  <c r="H5" i="3"/>
  <c r="L33" i="2" l="1"/>
  <c r="L34" i="2"/>
  <c r="L32" i="2"/>
  <c r="L31" i="2"/>
  <c r="G27" i="2" l="1"/>
  <c r="M27" i="2" s="1"/>
  <c r="G10" i="2" l="1"/>
  <c r="G13" i="2" l="1"/>
  <c r="G34" i="2" l="1"/>
  <c r="G33" i="2"/>
  <c r="G32" i="2"/>
  <c r="G31" i="2"/>
  <c r="G28" i="2"/>
  <c r="M28" i="2" s="1"/>
  <c r="M34" i="2" l="1"/>
  <c r="M33" i="2"/>
  <c r="M32" i="2"/>
  <c r="M31" i="2"/>
  <c r="H7" i="3"/>
</calcChain>
</file>

<file path=xl/sharedStrings.xml><?xml version="1.0" encoding="utf-8"?>
<sst xmlns="http://schemas.openxmlformats.org/spreadsheetml/2006/main" count="458" uniqueCount="205">
  <si>
    <t>Laba Rugi Komparatif 2023</t>
  </si>
  <si>
    <t>JAN</t>
  </si>
  <si>
    <t>FEB</t>
  </si>
  <si>
    <t>MAR</t>
  </si>
  <si>
    <t>APR</t>
  </si>
  <si>
    <t>MAY</t>
  </si>
  <si>
    <t>JUN</t>
  </si>
  <si>
    <t>SUB TOTAL</t>
  </si>
  <si>
    <t>JUL</t>
  </si>
  <si>
    <t>AUG</t>
  </si>
  <si>
    <t>SEP</t>
  </si>
  <si>
    <t>OCT</t>
  </si>
  <si>
    <t>NOV</t>
  </si>
  <si>
    <t>DEC</t>
  </si>
  <si>
    <t>TOTAL</t>
  </si>
  <si>
    <t>Pendapatan Tamu Grup</t>
  </si>
  <si>
    <t>Pendapatan Tamu WIG</t>
  </si>
  <si>
    <t>Pendapatan Tamu OTA</t>
  </si>
  <si>
    <t>Pendapatan OOD</t>
  </si>
  <si>
    <t>Bunga bank pot admin</t>
  </si>
  <si>
    <t>GROSS Revenue</t>
  </si>
  <si>
    <t>Komisi &amp; Biaya Langsung</t>
  </si>
  <si>
    <t>Biaya Pajak &amp; Retribusi</t>
  </si>
  <si>
    <t>NETT REVENUE</t>
  </si>
  <si>
    <t>Biaya Gaji, THR, BAT &amp; TU</t>
  </si>
  <si>
    <t>Biaya Operasional</t>
  </si>
  <si>
    <t>Biaya FnB</t>
  </si>
  <si>
    <t>Biaya HK</t>
  </si>
  <si>
    <t>Biaya Engineering</t>
  </si>
  <si>
    <t>Biaya BPJS</t>
  </si>
  <si>
    <t>Biaya Listrik, Telpon, Wifi</t>
  </si>
  <si>
    <t>Biaya Marketing</t>
  </si>
  <si>
    <t>Biaya Toko GSK</t>
  </si>
  <si>
    <t>Biaya PBB 2023</t>
  </si>
  <si>
    <t>Biaya Lainnya</t>
  </si>
  <si>
    <t>TOTAL BIAYA OPERASIONAL</t>
  </si>
  <si>
    <t xml:space="preserve">LABA RUGI </t>
  </si>
  <si>
    <t>TIDAK PERLU DI PRINT</t>
  </si>
  <si>
    <t>GAJI Kas Keu</t>
  </si>
  <si>
    <t>GAJI BCA</t>
  </si>
  <si>
    <t>GAJI BCA Payroll</t>
  </si>
  <si>
    <t>GAJI Pot  Kasbon</t>
  </si>
  <si>
    <t>GAJI Dana THR</t>
  </si>
  <si>
    <t>GAJI Tabungan Wajib</t>
  </si>
  <si>
    <t>GAJI BAT</t>
  </si>
  <si>
    <t>Biaya THR &amp; BAT 2023</t>
  </si>
  <si>
    <t>GAJI Tabungan Umroh</t>
  </si>
  <si>
    <t>TOTAL Biaya Gaji</t>
  </si>
  <si>
    <t>BCA Giro</t>
  </si>
  <si>
    <t>Kas Keu</t>
  </si>
  <si>
    <t>BCA</t>
  </si>
  <si>
    <t>Kasbon kary</t>
  </si>
  <si>
    <t>Dana Tab Wajib</t>
  </si>
  <si>
    <t>Dana THR</t>
  </si>
  <si>
    <t>Dana BAT</t>
  </si>
  <si>
    <t>Dana Tab Umroh</t>
  </si>
  <si>
    <t>JANUARI</t>
  </si>
  <si>
    <t>FEBRUARI</t>
  </si>
  <si>
    <t>MARET</t>
  </si>
  <si>
    <t>Biaya Rekreasi 2024</t>
  </si>
  <si>
    <t>Biaya Resto 2024</t>
  </si>
  <si>
    <t>LABA RUGI 2023 &amp; LABA RUGI 2024</t>
  </si>
  <si>
    <t>GROSS REVENUE</t>
  </si>
  <si>
    <t xml:space="preserve">TOTAL BIAYA </t>
  </si>
  <si>
    <t>Biaya Gaji, THR, BAT, WAJIB, UMROH</t>
  </si>
  <si>
    <t>CADANGAN PBB</t>
  </si>
  <si>
    <t>Januari</t>
  </si>
  <si>
    <t>Februari</t>
  </si>
  <si>
    <t>Maret</t>
  </si>
  <si>
    <t>Grafik Nett Revenue 2023 &amp; 2024</t>
  </si>
  <si>
    <t>APRIL</t>
  </si>
  <si>
    <t>Grafik L/R                 2023 &amp; 2024</t>
  </si>
  <si>
    <t>GRAFIK L/R 2022 &amp; 2023</t>
  </si>
  <si>
    <t xml:space="preserve">April 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</si>
  <si>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</si>
  <si>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</si>
  <si>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</si>
  <si>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</si>
  <si>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</si>
  <si>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</si>
  <si>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</si>
  <si>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</si>
  <si>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GRAFIK REVENUE  2022 &amp; 2023</t>
  </si>
  <si>
    <t>PROYEKSI 2024</t>
  </si>
  <si>
    <t>Revenue</t>
  </si>
  <si>
    <t>Biaya</t>
  </si>
  <si>
    <t xml:space="preserve">Laba </t>
  </si>
  <si>
    <t>Total</t>
  </si>
  <si>
    <t>Compare Perolehan Data Sales Tahun 2024</t>
  </si>
  <si>
    <t>No</t>
  </si>
  <si>
    <t>Nama Sales</t>
  </si>
  <si>
    <t>Jumlah Tamu Grup</t>
  </si>
  <si>
    <t>Nominal</t>
  </si>
  <si>
    <t>Bulan</t>
  </si>
  <si>
    <t>Tomy</t>
  </si>
  <si>
    <t>Heri</t>
  </si>
  <si>
    <t>An Tomy</t>
  </si>
  <si>
    <t>An Heri</t>
  </si>
  <si>
    <t>Nike</t>
  </si>
  <si>
    <t>Angger</t>
  </si>
  <si>
    <t>Etik</t>
  </si>
  <si>
    <t>Pak Badri</t>
  </si>
  <si>
    <t>Dhoni</t>
  </si>
  <si>
    <t>BAYU</t>
  </si>
  <si>
    <t>NIKE</t>
  </si>
  <si>
    <t>ANGGER</t>
  </si>
  <si>
    <t>ANGELA</t>
  </si>
  <si>
    <t>Jumlah Tamu (grup)</t>
  </si>
  <si>
    <t xml:space="preserve">COMPARE DATA </t>
  </si>
  <si>
    <t>Jan</t>
  </si>
  <si>
    <t>Feb</t>
  </si>
  <si>
    <t>Mar</t>
  </si>
  <si>
    <t>Apr</t>
  </si>
  <si>
    <t>Laba Rugi Komparatif 2024</t>
  </si>
  <si>
    <t>Biaya Cadangan PBB</t>
  </si>
  <si>
    <t>Biaya Rekreasi</t>
  </si>
  <si>
    <t>Biaya Resto</t>
  </si>
  <si>
    <t>SERVICE AC</t>
  </si>
  <si>
    <t>Jun</t>
  </si>
  <si>
    <t>Jul</t>
  </si>
  <si>
    <t>Agust</t>
  </si>
  <si>
    <t>Sep</t>
  </si>
  <si>
    <t>Okt</t>
  </si>
  <si>
    <t>Nop</t>
  </si>
  <si>
    <t>Des</t>
  </si>
  <si>
    <t>Keterangan</t>
  </si>
  <si>
    <t xml:space="preserve">Januari </t>
  </si>
  <si>
    <t>Pembayaran termin 3 &amp; 4</t>
  </si>
  <si>
    <t>Material</t>
  </si>
  <si>
    <t>Tukang</t>
  </si>
  <si>
    <t>Pembayaran termin 5.6,7</t>
  </si>
  <si>
    <t>Snack/makan Tukang</t>
  </si>
  <si>
    <t>Kasbon Tukang</t>
  </si>
  <si>
    <t>Pembayaran termin 7,8,9,10</t>
  </si>
  <si>
    <t>April</t>
  </si>
  <si>
    <t>Pembayaran Termin 14</t>
  </si>
  <si>
    <t>KAS KEU</t>
  </si>
  <si>
    <t>Total Kas Keu 2024</t>
  </si>
  <si>
    <t>BANK</t>
  </si>
  <si>
    <t>Pembayaran termin dan konsultasi</t>
  </si>
  <si>
    <t>Pembelian Material</t>
  </si>
  <si>
    <t>Total Bank 2024</t>
  </si>
  <si>
    <t>Pembayaran Termin</t>
  </si>
  <si>
    <t>Total Biaya 2024</t>
  </si>
  <si>
    <t>Prosentase Biaya FNB</t>
  </si>
  <si>
    <t>Prosentase Biaya Engineering</t>
  </si>
  <si>
    <t>Prosentase Biaya HK</t>
  </si>
  <si>
    <t>Prosentase Biaya Operasional</t>
  </si>
  <si>
    <t>REVENUE</t>
  </si>
  <si>
    <t>Rekap 2024</t>
  </si>
  <si>
    <t xml:space="preserve"> </t>
  </si>
  <si>
    <t>Saldo</t>
  </si>
  <si>
    <t>Tanggal</t>
  </si>
  <si>
    <t>Saldo Kasbon Karyawan Des 2023</t>
  </si>
  <si>
    <t>Kasbon pak rahman</t>
  </si>
  <si>
    <t>Kasbon pak hanif ( 04338)</t>
  </si>
  <si>
    <t>Kasbon adrian</t>
  </si>
  <si>
    <t>Kasbon Karyawan a/n Pargiyono (04418)</t>
  </si>
  <si>
    <t>Kasbon pak Supri</t>
  </si>
  <si>
    <t>Kasbon pak Rahman</t>
  </si>
  <si>
    <t>Kasbon Karyawan a/n Adrian</t>
  </si>
  <si>
    <t>Kasbon Karyawan a.n Rubingun</t>
  </si>
  <si>
    <t>Kasbon Pak supri</t>
  </si>
  <si>
    <t>Kasbon Pak Adrian</t>
  </si>
  <si>
    <t>Kasbon Karyawan a/n bu Sudariah</t>
  </si>
  <si>
    <t>Kasbon Karyawan a/n Rista</t>
  </si>
  <si>
    <t>Kasbon Karyawan a/n Zulfiqri</t>
  </si>
  <si>
    <t>Kasbon Karyawan a.n Pak adrian</t>
  </si>
  <si>
    <t>Kasbon Karyawan a.n Pak Rahman</t>
  </si>
  <si>
    <t>Kasbon mas oky</t>
  </si>
  <si>
    <t>Kasbon Rista</t>
  </si>
  <si>
    <t>Kasbon pak supri</t>
  </si>
  <si>
    <t>Kasbon Diwa Asri graha ( 04790)</t>
  </si>
  <si>
    <t>Pembayaran Kasbon Fiqri</t>
  </si>
  <si>
    <t>Pembayaran Kasbon Rubingun</t>
  </si>
  <si>
    <t>Pembayaran Kasbon Rista</t>
  </si>
  <si>
    <t>Pembayaran Kasbon Rahman</t>
  </si>
  <si>
    <t>pembayaran Kasbon Imam</t>
  </si>
  <si>
    <t xml:space="preserve">pembayaran Kasbon Pak Supri </t>
  </si>
  <si>
    <t>Pembayaran Kasbon Pargiyono</t>
  </si>
  <si>
    <t>Pembayaran Kasbon Pak Hanif</t>
  </si>
  <si>
    <t>Pembayara n Kasbon Pak Rohman</t>
  </si>
  <si>
    <t>Pembayaran Kasbon Adrian</t>
  </si>
  <si>
    <t>Pembayara n Kasbon Imam</t>
  </si>
  <si>
    <t>pembayaran Kasbon Sudariyah</t>
  </si>
  <si>
    <t>Penambahan Kasbon</t>
  </si>
  <si>
    <t>Pembayaran Kasbon</t>
  </si>
  <si>
    <t>TANGGAL</t>
  </si>
  <si>
    <t>KETERANGAN</t>
  </si>
  <si>
    <t>NOMINAL</t>
  </si>
  <si>
    <t>SEWA PROYEKTOR 2024</t>
  </si>
  <si>
    <t>Sewa Cangkir</t>
  </si>
  <si>
    <t>Sewa Proyektor</t>
  </si>
  <si>
    <t>SEWA SENDOK &amp; GELAS 2024</t>
  </si>
  <si>
    <t>Sewa Sendok dan gelas</t>
  </si>
  <si>
    <t>Sewa Sendok</t>
  </si>
  <si>
    <t xml:space="preserve">Sewa Sendok </t>
  </si>
  <si>
    <t>SEWA KURSI 2024</t>
  </si>
  <si>
    <t>Sewa Kursi</t>
  </si>
  <si>
    <t>BIAYA-BIAYA SEWA 2024 s/d 20 Mei 2024</t>
  </si>
  <si>
    <t>SEWA BED 2024</t>
  </si>
  <si>
    <t>Sewa selimut</t>
  </si>
  <si>
    <t>Sewa Ekstrabed</t>
  </si>
  <si>
    <t>Sewa Bed</t>
  </si>
  <si>
    <t>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</si>
</sst>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41" fontId="0" fillId="0" borderId="0" xfId="0" applyNumberFormat="1"/>
    <xf numFmtId="41" fontId="0" fillId="0" borderId="1" xfId="0" applyNumberFormat="1" applyBorder="1"/>
    <xf numFmtId="41" fontId="4" fillId="0" borderId="2" xfId="0" applyNumberFormat="1" applyFont="1" applyBorder="1"/>
    <xf numFmtId="41" fontId="4" fillId="0" borderId="0" xfId="0" applyNumberFormat="1" applyFont="1"/>
    <xf numFmtId="43" fontId="0" fillId="0" borderId="0" xfId="1" applyFont="1"/>
    <xf numFmtId="164" fontId="0" fillId="0" borderId="0" xfId="1" applyNumberFormat="1" applyFont="1"/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center"/>
    </xf>
    <xf numFmtId="41" fontId="0" fillId="0" borderId="0" xfId="2" applyFont="1"/>
    <xf numFmtId="1" fontId="4" fillId="0" borderId="0" xfId="2" applyNumberFormat="1" applyFont="1" applyAlignment="1">
      <alignment horizontal="center"/>
    </xf>
    <xf numFmtId="0" fontId="4" fillId="3" borderId="0" xfId="0" applyFont="1" applyFill="1"/>
    <xf numFmtId="41" fontId="4" fillId="3" borderId="0" xfId="2" applyFont="1" applyFill="1"/>
    <xf numFmtId="0" fontId="0" fillId="0" borderId="3" xfId="0" applyBorder="1"/>
    <xf numFmtId="41" fontId="0" fillId="0" borderId="3" xfId="2" applyFont="1" applyBorder="1"/>
    <xf numFmtId="0" fontId="4" fillId="0" borderId="3" xfId="0" applyFont="1" applyBorder="1" applyAlignment="1">
      <alignment horizontal="center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41" fontId="0" fillId="0" borderId="3" xfId="2" applyFont="1" applyFill="1" applyBorder="1"/>
    <xf numFmtId="0" fontId="0" fillId="4" borderId="3" xfId="0" applyFill="1" applyBorder="1"/>
    <xf numFmtId="41" fontId="0" fillId="4" borderId="3" xfId="2" applyFont="1" applyFill="1" applyBorder="1"/>
    <xf numFmtId="41" fontId="5" fillId="2" borderId="3" xfId="0" applyNumberFormat="1" applyFont="1" applyFill="1" applyBorder="1"/>
    <xf numFmtId="0" fontId="0" fillId="2" borderId="3" xfId="0" applyFill="1" applyBorder="1"/>
    <xf numFmtId="0" fontId="4" fillId="0" borderId="0" xfId="0" applyFont="1" applyAlignment="1">
      <alignment horizontal="left"/>
    </xf>
    <xf numFmtId="41" fontId="0" fillId="0" borderId="3" xfId="2" applyFont="1" applyBorder="1" applyAlignment="1">
      <alignment horizontal="center"/>
    </xf>
    <xf numFmtId="17" fontId="0" fillId="0" borderId="3" xfId="0" applyNumberFormat="1" applyBorder="1" applyAlignment="1">
      <alignment horizontal="center"/>
    </xf>
    <xf numFmtId="41" fontId="2" fillId="0" borderId="3" xfId="2" applyFont="1" applyBorder="1" applyAlignment="1">
      <alignment horizontal="center" vertical="center"/>
    </xf>
    <xf numFmtId="0" fontId="0" fillId="0" borderId="3" xfId="2" applyNumberFormat="1" applyFont="1" applyBorder="1" applyAlignment="1">
      <alignment horizontal="center" vertical="center"/>
    </xf>
    <xf numFmtId="0" fontId="0" fillId="0" borderId="3" xfId="2" applyNumberFormat="1" applyFont="1" applyBorder="1" applyAlignment="1">
      <alignment horizontal="center"/>
    </xf>
    <xf numFmtId="41" fontId="5" fillId="0" borderId="3" xfId="2" applyFont="1" applyFill="1" applyBorder="1" applyAlignment="1">
      <alignment horizontal="center" vertical="center"/>
    </xf>
    <xf numFmtId="0" fontId="0" fillId="0" borderId="3" xfId="0" applyFill="1" applyBorder="1"/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41" fontId="4" fillId="5" borderId="3" xfId="2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41" fontId="4" fillId="0" borderId="3" xfId="2" applyFont="1" applyBorder="1" applyAlignment="1">
      <alignment horizontal="center"/>
    </xf>
    <xf numFmtId="1" fontId="4" fillId="0" borderId="3" xfId="2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41" fontId="4" fillId="3" borderId="0" xfId="0" applyNumberFormat="1" applyFont="1" applyFill="1"/>
    <xf numFmtId="41" fontId="0" fillId="5" borderId="0" xfId="0" applyNumberFormat="1" applyFill="1"/>
    <xf numFmtId="0" fontId="4" fillId="0" borderId="3" xfId="0" applyFont="1" applyBorder="1"/>
    <xf numFmtId="41" fontId="4" fillId="0" borderId="3" xfId="2" applyFont="1" applyBorder="1"/>
    <xf numFmtId="0" fontId="6" fillId="0" borderId="3" xfId="0" applyFont="1" applyBorder="1"/>
    <xf numFmtId="41" fontId="6" fillId="0" borderId="3" xfId="2" applyFont="1" applyBorder="1"/>
    <xf numFmtId="0" fontId="0" fillId="5" borderId="3" xfId="0" applyFill="1" applyBorder="1" applyAlignment="1">
      <alignment horizontal="center"/>
    </xf>
    <xf numFmtId="41" fontId="0" fillId="5" borderId="3" xfId="2" applyFont="1" applyFill="1" applyBorder="1" applyAlignment="1">
      <alignment horizontal="center"/>
    </xf>
    <xf numFmtId="41" fontId="0" fillId="0" borderId="3" xfId="0" applyNumberFormat="1" applyBorder="1"/>
    <xf numFmtId="41" fontId="4" fillId="0" borderId="3" xfId="0" applyNumberFormat="1" applyFont="1" applyBorder="1"/>
    <xf numFmtId="10" fontId="4" fillId="0" borderId="0" xfId="2" applyNumberFormat="1" applyFont="1"/>
    <xf numFmtId="10" fontId="4" fillId="5" borderId="0" xfId="2" applyNumberFormat="1" applyFont="1" applyFill="1"/>
    <xf numFmtId="0" fontId="4" fillId="0" borderId="3" xfId="0" applyFont="1" applyBorder="1" applyAlignment="1">
      <alignment horizontal="center"/>
    </xf>
    <xf numFmtId="15" fontId="0" fillId="0" borderId="3" xfId="0" applyNumberFormat="1" applyBorder="1" applyAlignment="1">
      <alignment vertical="center"/>
    </xf>
    <xf numFmtId="0" fontId="0" fillId="0" borderId="3" xfId="0" applyBorder="1" applyAlignment="1">
      <alignment wrapText="1"/>
    </xf>
    <xf numFmtId="0" fontId="7" fillId="0" borderId="3" xfId="0" applyFont="1" applyBorder="1" applyAlignment="1">
      <alignment wrapText="1"/>
    </xf>
    <xf numFmtId="41" fontId="0" fillId="0" borderId="3" xfId="0" applyNumberFormat="1" applyBorder="1" applyAlignment="1">
      <alignment horizontal="center"/>
    </xf>
    <xf numFmtId="15" fontId="0" fillId="0" borderId="3" xfId="0" applyNumberFormat="1" applyBorder="1" applyAlignment="1">
      <alignment horizontal="center" vertical="center"/>
    </xf>
    <xf numFmtId="15" fontId="0" fillId="0" borderId="3" xfId="0" applyNumberFormat="1" applyFont="1" applyFill="1" applyBorder="1" applyAlignment="1">
      <alignment vertical="center"/>
    </xf>
    <xf numFmtId="0" fontId="0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/>
    <xf numFmtId="0" fontId="0" fillId="0" borderId="3" xfId="0" applyFont="1" applyFill="1" applyBorder="1" applyAlignment="1">
      <alignment wrapText="1"/>
    </xf>
    <xf numFmtId="16" fontId="0" fillId="0" borderId="0" xfId="0" applyNumberFormat="1"/>
    <xf numFmtId="16" fontId="0" fillId="0" borderId="3" xfId="0" applyNumberFormat="1" applyBorder="1"/>
    <xf numFmtId="16" fontId="0" fillId="5" borderId="3" xfId="0" applyNumberFormat="1" applyFill="1" applyBorder="1" applyAlignment="1">
      <alignment horizontal="center"/>
    </xf>
    <xf numFmtId="16" fontId="0" fillId="0" borderId="0" xfId="0" applyNumberFormat="1" applyBorder="1"/>
    <xf numFmtId="0" fontId="0" fillId="0" borderId="0" xfId="0" applyBorder="1"/>
    <xf numFmtId="41" fontId="0" fillId="0" borderId="0" xfId="2" applyFont="1" applyBorder="1"/>
    <xf numFmtId="16" fontId="8" fillId="0" borderId="0" xfId="0" applyNumberFormat="1" applyFont="1"/>
    <xf numFmtId="41" fontId="4" fillId="0" borderId="0" xfId="2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3" xfId="0" applyFont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2023</c:v>
          </c:tx>
          <c:invertIfNegative val="0"/>
          <c:cat>
            <c:strRef>
              <c:f>'grafik analys'!$A$5:$A$7</c:f>
              <c:strCache>
                <c:ptCount val="3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</c:strCache>
            </c:strRef>
          </c:cat>
          <c:val>
            <c:numRef>
              <c:f>'grafik analys'!$B$5:$B$7</c:f>
              <c:numCache>
                <c:formatCode>_(* #,##0_);_(* \(#,##0\);_(* "-"_);_(@_)</c:formatCode>
                <c:ptCount val="3"/>
                <c:pt idx="0">
                  <c:v>499068408</c:v>
                </c:pt>
                <c:pt idx="1">
                  <c:v>429433688</c:v>
                </c:pt>
                <c:pt idx="2">
                  <c:v>255138659</c:v>
                </c:pt>
              </c:numCache>
            </c:numRef>
          </c:val>
        </c:ser>
        <c:ser>
          <c:idx val="1"/>
          <c:order val="1"/>
          <c:tx>
            <c:v>2024</c:v>
          </c:tx>
          <c:invertIfNegative val="0"/>
          <c:cat>
            <c:strRef>
              <c:f>'grafik analys'!$A$5:$A$7</c:f>
              <c:strCache>
                <c:ptCount val="3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</c:strCache>
            </c:strRef>
          </c:cat>
          <c:val>
            <c:numRef>
              <c:f>'grafik analys'!$C$5:$C$7</c:f>
              <c:numCache>
                <c:formatCode>_(* #,##0_);_(* \(#,##0\);_(* "-"_);_(@_)</c:formatCode>
                <c:ptCount val="3"/>
                <c:pt idx="0">
                  <c:v>435344023</c:v>
                </c:pt>
                <c:pt idx="1">
                  <c:v>348418227</c:v>
                </c:pt>
                <c:pt idx="2">
                  <c:v>175369041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13184"/>
        <c:axId val="43614976"/>
      </c:barChart>
      <c:catAx>
        <c:axId val="4361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43614976"/>
        <c:crosses val="autoZero"/>
        <c:auto val="1"/>
        <c:lblAlgn val="ctr"/>
        <c:lblOffset val="100"/>
        <c:noMultiLvlLbl val="0"/>
      </c:catAx>
      <c:valAx>
        <c:axId val="43614976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4361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2023</c:v>
          </c:tx>
          <c:invertIfNegative val="0"/>
          <c:cat>
            <c:strRef>
              <c:f>'grafik analys'!$F$5:$F$7</c:f>
              <c:strCache>
                <c:ptCount val="3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</c:strCache>
            </c:strRef>
          </c:cat>
          <c:val>
            <c:numRef>
              <c:f>'grafik analys'!$G$5:$G$7</c:f>
              <c:numCache>
                <c:formatCode>_(* #,##0_);_(* \(#,##0\);_(* "-"_);_(@_)</c:formatCode>
                <c:ptCount val="3"/>
                <c:pt idx="0">
                  <c:v>255867686</c:v>
                </c:pt>
                <c:pt idx="1">
                  <c:v>187072658</c:v>
                </c:pt>
                <c:pt idx="2">
                  <c:v>78437459</c:v>
                </c:pt>
              </c:numCache>
            </c:numRef>
          </c:val>
        </c:ser>
        <c:ser>
          <c:idx val="1"/>
          <c:order val="1"/>
          <c:tx>
            <c:v>2024</c:v>
          </c:tx>
          <c:invertIfNegative val="0"/>
          <c:cat>
            <c:strRef>
              <c:f>'grafik analys'!$F$5:$F$7</c:f>
              <c:strCache>
                <c:ptCount val="3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</c:strCache>
            </c:strRef>
          </c:cat>
          <c:val>
            <c:numRef>
              <c:f>'grafik analys'!$H$5:$H$7</c:f>
              <c:numCache>
                <c:formatCode>_(* #,##0_);_(* \(#,##0\);_(* "-"_);_(@_)</c:formatCode>
                <c:ptCount val="3"/>
                <c:pt idx="0">
                  <c:v>186710625</c:v>
                </c:pt>
                <c:pt idx="1">
                  <c:v>111027384</c:v>
                </c:pt>
                <c:pt idx="2">
                  <c:v>1215294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39936"/>
        <c:axId val="43641472"/>
      </c:barChart>
      <c:catAx>
        <c:axId val="4363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43641472"/>
        <c:crosses val="autoZero"/>
        <c:auto val="1"/>
        <c:lblAlgn val="ctr"/>
        <c:lblOffset val="100"/>
        <c:noMultiLvlLbl val="0"/>
      </c:catAx>
      <c:valAx>
        <c:axId val="43641472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4363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2022</c:v>
          </c:tx>
          <c:cat>
            <c:strRef>
              <c:f>'grafik analys'!$A$24:$A$35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 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'grafik analys'!$B$24:$B$35</c:f>
              <c:numCache>
                <c:formatCode>_(* #,##0_);_(* \(#,##0\);_(* "-"_);_(@_)</c:formatCode>
                <c:ptCount val="12"/>
                <c:pt idx="0">
                  <c:v>305592700</c:v>
                </c:pt>
                <c:pt idx="1">
                  <c:v>299329392</c:v>
                </c:pt>
                <c:pt idx="2">
                  <c:v>315731059</c:v>
                </c:pt>
                <c:pt idx="3">
                  <c:v>17119303</c:v>
                </c:pt>
                <c:pt idx="4">
                  <c:v>376679792</c:v>
                </c:pt>
                <c:pt idx="5">
                  <c:v>441155573</c:v>
                </c:pt>
                <c:pt idx="6">
                  <c:v>228551188</c:v>
                </c:pt>
                <c:pt idx="7">
                  <c:v>190896164</c:v>
                </c:pt>
                <c:pt idx="8">
                  <c:v>234065719</c:v>
                </c:pt>
                <c:pt idx="9">
                  <c:v>368120625</c:v>
                </c:pt>
                <c:pt idx="10">
                  <c:v>439450075</c:v>
                </c:pt>
                <c:pt idx="11">
                  <c:v>618112310</c:v>
                </c:pt>
              </c:numCache>
            </c:numRef>
          </c:val>
          <c:smooth val="0"/>
        </c:ser>
        <c:ser>
          <c:idx val="1"/>
          <c:order val="1"/>
          <c:tx>
            <c:v>2023</c:v>
          </c:tx>
          <c:cat>
            <c:strRef>
              <c:f>'grafik analys'!$A$24:$A$35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 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'grafik analys'!$C$24:$C$35</c:f>
              <c:numCache>
                <c:formatCode>_(* #,##0_);_(* \(#,##0\);_(* "-"_);_(@_)</c:formatCode>
                <c:ptCount val="12"/>
                <c:pt idx="0">
                  <c:v>499068408</c:v>
                </c:pt>
                <c:pt idx="1">
                  <c:v>429433688</c:v>
                </c:pt>
                <c:pt idx="2">
                  <c:v>255138659</c:v>
                </c:pt>
                <c:pt idx="3">
                  <c:v>120519418</c:v>
                </c:pt>
                <c:pt idx="4">
                  <c:v>618463257</c:v>
                </c:pt>
                <c:pt idx="5">
                  <c:v>425370872</c:v>
                </c:pt>
                <c:pt idx="6">
                  <c:v>268772904</c:v>
                </c:pt>
                <c:pt idx="7">
                  <c:v>211424118</c:v>
                </c:pt>
                <c:pt idx="8">
                  <c:v>192486955</c:v>
                </c:pt>
                <c:pt idx="9">
                  <c:v>286538231</c:v>
                </c:pt>
                <c:pt idx="10">
                  <c:v>368240702</c:v>
                </c:pt>
                <c:pt idx="11">
                  <c:v>607028568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47008"/>
        <c:axId val="76055296"/>
      </c:lineChart>
      <c:catAx>
        <c:axId val="7594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76055296"/>
        <c:crosses val="autoZero"/>
        <c:auto val="1"/>
        <c:lblAlgn val="ctr"/>
        <c:lblOffset val="100"/>
        <c:noMultiLvlLbl val="0"/>
      </c:catAx>
      <c:valAx>
        <c:axId val="76055296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7594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2022</c:v>
          </c:tx>
          <c:cat>
            <c:strRef>
              <c:f>'grafik analys'!$F$24:$F$35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 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'grafik analys'!$G$24:$G$35</c:f>
              <c:numCache>
                <c:formatCode>_(* #,##0_);_(* \(#,##0\);_(* "-"_);_(@_)</c:formatCode>
                <c:ptCount val="12"/>
                <c:pt idx="0">
                  <c:v>179705822</c:v>
                </c:pt>
                <c:pt idx="1">
                  <c:v>163294623</c:v>
                </c:pt>
                <c:pt idx="2">
                  <c:v>163222438</c:v>
                </c:pt>
                <c:pt idx="3">
                  <c:v>-138404953</c:v>
                </c:pt>
                <c:pt idx="4">
                  <c:v>240445223</c:v>
                </c:pt>
                <c:pt idx="5">
                  <c:v>172555209</c:v>
                </c:pt>
                <c:pt idx="6">
                  <c:v>68752673</c:v>
                </c:pt>
                <c:pt idx="7">
                  <c:v>39037626</c:v>
                </c:pt>
                <c:pt idx="8">
                  <c:v>112246091</c:v>
                </c:pt>
                <c:pt idx="9">
                  <c:v>198426261</c:v>
                </c:pt>
                <c:pt idx="10">
                  <c:v>204541974</c:v>
                </c:pt>
                <c:pt idx="11">
                  <c:v>356106803</c:v>
                </c:pt>
              </c:numCache>
            </c:numRef>
          </c:val>
          <c:smooth val="0"/>
        </c:ser>
        <c:ser>
          <c:idx val="1"/>
          <c:order val="1"/>
          <c:tx>
            <c:v>2023</c:v>
          </c:tx>
          <c:cat>
            <c:strRef>
              <c:f>'grafik analys'!$F$24:$F$35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 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'grafik analys'!$H$24:$H$35</c:f>
              <c:numCache>
                <c:formatCode>_(* #,##0_);_(* \(#,##0\);_(* "-"_);_(@_)</c:formatCode>
                <c:ptCount val="12"/>
                <c:pt idx="0">
                  <c:v>255867686</c:v>
                </c:pt>
                <c:pt idx="1">
                  <c:v>187072658</c:v>
                </c:pt>
                <c:pt idx="2">
                  <c:v>78437459</c:v>
                </c:pt>
                <c:pt idx="3">
                  <c:v>-10951176</c:v>
                </c:pt>
                <c:pt idx="4">
                  <c:v>377080553</c:v>
                </c:pt>
                <c:pt idx="5">
                  <c:v>185401082</c:v>
                </c:pt>
                <c:pt idx="6">
                  <c:v>68087256</c:v>
                </c:pt>
                <c:pt idx="7">
                  <c:v>55086141</c:v>
                </c:pt>
                <c:pt idx="8">
                  <c:v>-31235681</c:v>
                </c:pt>
                <c:pt idx="9">
                  <c:v>92384679</c:v>
                </c:pt>
                <c:pt idx="10">
                  <c:v>163040741</c:v>
                </c:pt>
                <c:pt idx="11">
                  <c:v>353979474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73408"/>
        <c:axId val="43874944"/>
      </c:lineChart>
      <c:catAx>
        <c:axId val="4387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43874944"/>
        <c:crosses val="autoZero"/>
        <c:auto val="1"/>
        <c:lblAlgn val="ctr"/>
        <c:lblOffset val="100"/>
        <c:noMultiLvlLbl val="0"/>
      </c:catAx>
      <c:valAx>
        <c:axId val="43874944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4387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8</xdr:row>
      <xdr:rowOff>52387</xdr:rowOff>
    </xdr:from>
    <xdr:to>
      <xdr:col>2</xdr:col>
      <xdr:colOff>800100</xdr:colOff>
      <xdr:row>18</xdr:row>
      <xdr:rowOff>104775</xdr:rowOff>
    </xdr:to>
    <xdr:graphicFrame macro="">
      <xdr:nvGraphicFramePr>
        <xdr:cNvPr id="5" name="Chart 4" title="Compare Nett Reven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66676</xdr:colOff>
      <xdr:row>8</xdr:row>
      <xdr:rowOff>33337</xdr:rowOff>
    </xdr:from>
    <xdr:to>
      <xdr:col>8</xdr:col>
      <xdr:colOff>47626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38099</xdr:colOff>
      <xdr:row>36</xdr:row>
      <xdr:rowOff>185737</xdr:rowOff>
    </xdr:from>
    <xdr:to>
      <xdr:col>3</xdr:col>
      <xdr:colOff>581024</xdr:colOff>
      <xdr:row>50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28575</xdr:colOff>
      <xdr:row>36</xdr:row>
      <xdr:rowOff>128587</xdr:rowOff>
    </xdr:from>
    <xdr:to>
      <xdr:col>9</xdr:col>
      <xdr:colOff>371475</xdr:colOff>
      <xdr:row>50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4-RULLY/LAP%20Keu%202023%20by%20Zulfiqri_F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rnal Komparatif"/>
      <sheetName val="KBank"/>
      <sheetName val="LRKom"/>
      <sheetName val="Jurnal"/>
      <sheetName val="Neraca"/>
      <sheetName val="LR"/>
      <sheetName val="Kas"/>
      <sheetName val="Asri"/>
    </sheetNames>
    <sheetDataSet>
      <sheetData sheetId="0">
        <row r="4">
          <cell r="C4">
            <v>367751000</v>
          </cell>
          <cell r="D4">
            <v>272024500</v>
          </cell>
          <cell r="E4">
            <v>190788500</v>
          </cell>
          <cell r="F4">
            <v>43814000</v>
          </cell>
          <cell r="G4">
            <v>457290000</v>
          </cell>
          <cell r="H4">
            <v>256009000</v>
          </cell>
          <cell r="I4">
            <v>136292000</v>
          </cell>
          <cell r="J4">
            <v>67741000</v>
          </cell>
          <cell r="K4">
            <v>93300000</v>
          </cell>
          <cell r="L4">
            <v>134694000</v>
          </cell>
          <cell r="M4">
            <v>196641000</v>
          </cell>
          <cell r="N4">
            <v>479230000</v>
          </cell>
        </row>
        <row r="5">
          <cell r="C5">
            <v>27181000</v>
          </cell>
          <cell r="D5">
            <v>39346000</v>
          </cell>
          <cell r="E5">
            <v>17230000</v>
          </cell>
          <cell r="F5">
            <v>2980000</v>
          </cell>
          <cell r="G5">
            <v>38713000</v>
          </cell>
          <cell r="H5">
            <v>82268000</v>
          </cell>
          <cell r="I5">
            <v>37025000</v>
          </cell>
          <cell r="J5">
            <v>45707500</v>
          </cell>
          <cell r="K5">
            <v>49226000</v>
          </cell>
          <cell r="L5">
            <v>81336000</v>
          </cell>
          <cell r="M5">
            <v>94071000</v>
          </cell>
          <cell r="N5">
            <v>64520000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4500000</v>
          </cell>
          <cell r="K6"/>
          <cell r="L6">
            <v>0</v>
          </cell>
          <cell r="M6">
            <v>0</v>
          </cell>
          <cell r="N6">
            <v>0</v>
          </cell>
        </row>
        <row r="7">
          <cell r="C7">
            <v>92674000</v>
          </cell>
          <cell r="D7">
            <v>116168500</v>
          </cell>
          <cell r="E7">
            <v>27400000</v>
          </cell>
          <cell r="F7">
            <v>14990000</v>
          </cell>
          <cell r="G7">
            <v>76000000</v>
          </cell>
          <cell r="H7">
            <v>67950000</v>
          </cell>
          <cell r="I7">
            <v>37160088</v>
          </cell>
          <cell r="J7">
            <v>64130000</v>
          </cell>
          <cell r="K7">
            <v>19064000</v>
          </cell>
          <cell r="L7">
            <v>49125000</v>
          </cell>
          <cell r="M7">
            <v>55060000</v>
          </cell>
          <cell r="N7">
            <v>58150000</v>
          </cell>
        </row>
        <row r="8">
          <cell r="C8">
            <v>3720000</v>
          </cell>
          <cell r="D8">
            <v>750000</v>
          </cell>
          <cell r="E8">
            <v>11090000</v>
          </cell>
          <cell r="F8">
            <v>22275000</v>
          </cell>
          <cell r="G8">
            <v>2600000</v>
          </cell>
          <cell r="H8">
            <v>11230000</v>
          </cell>
          <cell r="I8">
            <v>23155000</v>
          </cell>
          <cell r="J8">
            <v>9084000</v>
          </cell>
          <cell r="K8">
            <v>15187621</v>
          </cell>
          <cell r="L8">
            <v>9825900</v>
          </cell>
          <cell r="M8">
            <v>7410000</v>
          </cell>
          <cell r="N8">
            <v>5250000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1032500</v>
          </cell>
          <cell r="G9">
            <v>0</v>
          </cell>
          <cell r="H9">
            <v>795000</v>
          </cell>
          <cell r="I9">
            <v>492500</v>
          </cell>
          <cell r="J9">
            <v>1500000</v>
          </cell>
          <cell r="K9">
            <v>430000</v>
          </cell>
          <cell r="L9">
            <v>545000</v>
          </cell>
          <cell r="M9">
            <v>210000</v>
          </cell>
          <cell r="N9">
            <v>1385000</v>
          </cell>
        </row>
        <row r="10">
          <cell r="C10">
            <v>1640000</v>
          </cell>
          <cell r="D10">
            <v>380000</v>
          </cell>
          <cell r="E10">
            <v>3040000</v>
          </cell>
          <cell r="F10">
            <v>14290000</v>
          </cell>
          <cell r="G10">
            <v>430000</v>
          </cell>
          <cell r="H10">
            <v>3970000</v>
          </cell>
          <cell r="I10">
            <v>11920000</v>
          </cell>
          <cell r="J10">
            <v>7145000</v>
          </cell>
          <cell r="K10">
            <v>2445000</v>
          </cell>
          <cell r="L10">
            <v>900000</v>
          </cell>
          <cell r="M10">
            <v>1270000</v>
          </cell>
          <cell r="N10">
            <v>620000</v>
          </cell>
        </row>
        <row r="11">
          <cell r="C11">
            <v>1271063</v>
          </cell>
          <cell r="D11">
            <v>215261</v>
          </cell>
          <cell r="E11">
            <v>2901681</v>
          </cell>
          <cell r="F11">
            <v>23897475</v>
          </cell>
          <cell r="G11">
            <v>2252330</v>
          </cell>
          <cell r="H11">
            <v>1024064</v>
          </cell>
          <cell r="I11">
            <v>5273133</v>
          </cell>
          <cell r="J11">
            <v>1473509</v>
          </cell>
          <cell r="K11">
            <v>1514512</v>
          </cell>
          <cell r="L11">
            <v>1301420</v>
          </cell>
          <cell r="M11">
            <v>648148</v>
          </cell>
          <cell r="N11">
            <v>2568933</v>
          </cell>
        </row>
        <row r="12">
          <cell r="C12">
            <v>2401730</v>
          </cell>
          <cell r="D12">
            <v>1884100</v>
          </cell>
          <cell r="E12">
            <v>4046250</v>
          </cell>
          <cell r="F12">
            <v>3144420</v>
          </cell>
          <cell r="G12">
            <v>38469168</v>
          </cell>
          <cell r="H12">
            <v>182250</v>
          </cell>
          <cell r="I12">
            <v>15329250</v>
          </cell>
          <cell r="J12">
            <v>10469250</v>
          </cell>
          <cell r="K12">
            <v>10293480</v>
          </cell>
          <cell r="L12">
            <v>6712875</v>
          </cell>
          <cell r="M12">
            <v>951750</v>
          </cell>
          <cell r="N12">
            <v>1053000</v>
          </cell>
        </row>
        <row r="13">
          <cell r="C13">
            <v>2220000</v>
          </cell>
          <cell r="D13">
            <v>1550000</v>
          </cell>
          <cell r="E13">
            <v>2520000</v>
          </cell>
          <cell r="F13">
            <v>400000</v>
          </cell>
          <cell r="G13">
            <v>2250000</v>
          </cell>
          <cell r="H13">
            <v>2990000</v>
          </cell>
          <cell r="I13">
            <v>2900000</v>
          </cell>
          <cell r="J13">
            <v>1940000</v>
          </cell>
          <cell r="K13">
            <v>2280000</v>
          </cell>
          <cell r="L13">
            <v>2860000</v>
          </cell>
          <cell r="M13">
            <v>2420000</v>
          </cell>
          <cell r="N13">
            <v>2970000</v>
          </cell>
        </row>
        <row r="14">
          <cell r="C14">
            <v>6800000</v>
          </cell>
          <cell r="D14">
            <v>500000</v>
          </cell>
          <cell r="E14">
            <v>500000</v>
          </cell>
          <cell r="F14">
            <v>156000</v>
          </cell>
          <cell r="G14">
            <v>900000</v>
          </cell>
          <cell r="H14">
            <v>600000</v>
          </cell>
          <cell r="I14">
            <v>76500</v>
          </cell>
          <cell r="J14">
            <v>0</v>
          </cell>
          <cell r="K14">
            <v>0</v>
          </cell>
          <cell r="L14">
            <v>1860000</v>
          </cell>
          <cell r="M14">
            <v>2650000</v>
          </cell>
          <cell r="N14">
            <v>515000</v>
          </cell>
        </row>
        <row r="15">
          <cell r="C15">
            <v>0</v>
          </cell>
          <cell r="D15">
            <v>0</v>
          </cell>
          <cell r="E15">
            <v>40000</v>
          </cell>
          <cell r="F15">
            <v>0</v>
          </cell>
          <cell r="G15">
            <v>0</v>
          </cell>
          <cell r="H15">
            <v>0</v>
          </cell>
          <cell r="I15">
            <v>120000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400000</v>
          </cell>
          <cell r="G16">
            <v>0</v>
          </cell>
          <cell r="H16">
            <v>0</v>
          </cell>
          <cell r="I16">
            <v>1500000</v>
          </cell>
          <cell r="J16">
            <v>0</v>
          </cell>
          <cell r="K16">
            <v>1500000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325000</v>
          </cell>
          <cell r="D17">
            <v>720000</v>
          </cell>
          <cell r="E17">
            <v>240000</v>
          </cell>
          <cell r="F17">
            <v>80000</v>
          </cell>
          <cell r="G17">
            <v>475000</v>
          </cell>
          <cell r="H17">
            <v>578000</v>
          </cell>
          <cell r="I17">
            <v>0</v>
          </cell>
          <cell r="J17">
            <v>1332000</v>
          </cell>
          <cell r="K17">
            <v>0</v>
          </cell>
          <cell r="L17">
            <v>0</v>
          </cell>
          <cell r="M17">
            <v>50000</v>
          </cell>
          <cell r="N17">
            <v>740500</v>
          </cell>
        </row>
        <row r="18">
          <cell r="C18">
            <v>-36177</v>
          </cell>
          <cell r="D18">
            <v>-31741</v>
          </cell>
          <cell r="E18">
            <v>-37864</v>
          </cell>
          <cell r="F18">
            <v>-35824</v>
          </cell>
          <cell r="G18">
            <v>-75818</v>
          </cell>
          <cell r="H18">
            <v>-39919</v>
          </cell>
          <cell r="I18">
            <v>-39204</v>
          </cell>
          <cell r="J18">
            <v>-55131</v>
          </cell>
          <cell r="K18">
            <v>-63796</v>
          </cell>
          <cell r="L18">
            <v>-57938</v>
          </cell>
          <cell r="M18">
            <v>13948017</v>
          </cell>
          <cell r="N18">
            <v>-84230</v>
          </cell>
        </row>
        <row r="19">
          <cell r="C19">
            <v>752547</v>
          </cell>
          <cell r="D19">
            <v>739772</v>
          </cell>
          <cell r="E19">
            <v>596287</v>
          </cell>
          <cell r="F19">
            <v>2305585</v>
          </cell>
          <cell r="G19">
            <v>1670578</v>
          </cell>
          <cell r="H19">
            <v>2272758</v>
          </cell>
          <cell r="I19">
            <v>2146638</v>
          </cell>
          <cell r="J19">
            <v>1970991</v>
          </cell>
          <cell r="K19">
            <v>2129139</v>
          </cell>
          <cell r="L19">
            <v>3128975</v>
          </cell>
          <cell r="M19">
            <v>2078738</v>
          </cell>
          <cell r="N19">
            <v>2411366</v>
          </cell>
        </row>
        <row r="20">
          <cell r="C20">
            <v>0</v>
          </cell>
          <cell r="D20">
            <v>0</v>
          </cell>
          <cell r="E20">
            <v>-306944</v>
          </cell>
          <cell r="F20">
            <v>-30000</v>
          </cell>
          <cell r="G20">
            <v>-30000</v>
          </cell>
          <cell r="H20">
            <v>-30000</v>
          </cell>
          <cell r="I20">
            <v>-30000</v>
          </cell>
          <cell r="J20">
            <v>-30000</v>
          </cell>
          <cell r="K20">
            <v>-30000</v>
          </cell>
          <cell r="L20">
            <v>-30000</v>
          </cell>
          <cell r="M20">
            <v>-30000</v>
          </cell>
          <cell r="N20">
            <v>-30000</v>
          </cell>
        </row>
        <row r="21">
          <cell r="C21">
            <v>1062</v>
          </cell>
          <cell r="D21">
            <v>1063</v>
          </cell>
          <cell r="E21">
            <v>766</v>
          </cell>
          <cell r="F21">
            <v>1063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7">
          <cell r="C27">
            <v>2700000</v>
          </cell>
          <cell r="D27">
            <v>2700000</v>
          </cell>
          <cell r="E27">
            <v>2625000</v>
          </cell>
          <cell r="F27">
            <v>3000000</v>
          </cell>
          <cell r="G27">
            <v>2900000</v>
          </cell>
          <cell r="H27">
            <v>2800000</v>
          </cell>
          <cell r="I27">
            <v>2400000</v>
          </cell>
          <cell r="J27">
            <v>2500000</v>
          </cell>
          <cell r="K27">
            <v>3000000</v>
          </cell>
          <cell r="L27">
            <v>3000000</v>
          </cell>
          <cell r="M27">
            <v>2900000</v>
          </cell>
          <cell r="N27">
            <v>2900000</v>
          </cell>
        </row>
        <row r="30">
          <cell r="C30">
            <v>2500000</v>
          </cell>
          <cell r="D30">
            <v>2500000</v>
          </cell>
          <cell r="E30">
            <v>2500000</v>
          </cell>
          <cell r="F30">
            <v>2500000</v>
          </cell>
          <cell r="G30">
            <v>2500000</v>
          </cell>
          <cell r="H30">
            <v>2500000</v>
          </cell>
          <cell r="I30">
            <v>2500000</v>
          </cell>
          <cell r="J30">
            <v>2500000</v>
          </cell>
          <cell r="K30">
            <v>2500000</v>
          </cell>
          <cell r="L30">
            <v>2500000</v>
          </cell>
          <cell r="M30">
            <v>2500000</v>
          </cell>
          <cell r="N30">
            <v>2500000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89236394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970000</v>
          </cell>
          <cell r="D33">
            <v>0</v>
          </cell>
          <cell r="E33">
            <v>1561000</v>
          </cell>
          <cell r="F33">
            <v>2500000</v>
          </cell>
          <cell r="G33">
            <v>0</v>
          </cell>
          <cell r="H33">
            <v>1000000</v>
          </cell>
          <cell r="I33">
            <v>430000</v>
          </cell>
          <cell r="J33">
            <v>1000000</v>
          </cell>
          <cell r="K33">
            <v>0</v>
          </cell>
          <cell r="L33">
            <v>0</v>
          </cell>
          <cell r="M33">
            <v>884950</v>
          </cell>
          <cell r="N33">
            <v>1200000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3308800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C35">
            <v>245550</v>
          </cell>
          <cell r="D35">
            <v>157500</v>
          </cell>
          <cell r="E35">
            <v>87750</v>
          </cell>
          <cell r="F35">
            <v>275734</v>
          </cell>
          <cell r="G35">
            <v>275734</v>
          </cell>
          <cell r="H35">
            <v>275734</v>
          </cell>
          <cell r="I35">
            <v>275734</v>
          </cell>
          <cell r="J35">
            <v>275734</v>
          </cell>
          <cell r="K35">
            <v>275734</v>
          </cell>
          <cell r="L35">
            <v>275734</v>
          </cell>
          <cell r="M35">
            <v>275734</v>
          </cell>
          <cell r="N35">
            <v>275734</v>
          </cell>
        </row>
        <row r="36">
          <cell r="C36">
            <v>4911000</v>
          </cell>
          <cell r="D36">
            <v>3150000</v>
          </cell>
          <cell r="E36">
            <v>1755000</v>
          </cell>
          <cell r="F36">
            <v>1590000</v>
          </cell>
          <cell r="G36">
            <v>699000</v>
          </cell>
          <cell r="H36">
            <v>1646280</v>
          </cell>
          <cell r="I36">
            <v>2336000</v>
          </cell>
          <cell r="J36">
            <v>2702000</v>
          </cell>
          <cell r="K36">
            <v>3007000</v>
          </cell>
          <cell r="L36">
            <v>3881000</v>
          </cell>
          <cell r="M36">
            <v>6471000</v>
          </cell>
          <cell r="N36">
            <v>9289000</v>
          </cell>
        </row>
        <row r="37">
          <cell r="C37">
            <v>1014267</v>
          </cell>
          <cell r="D37">
            <v>1014267</v>
          </cell>
          <cell r="E37">
            <v>1014267</v>
          </cell>
          <cell r="F37">
            <v>1014267</v>
          </cell>
          <cell r="G37">
            <v>1014267</v>
          </cell>
          <cell r="H37">
            <v>1014267</v>
          </cell>
          <cell r="I37">
            <v>1014267</v>
          </cell>
          <cell r="J37">
            <v>1014267</v>
          </cell>
          <cell r="K37">
            <v>1014267</v>
          </cell>
          <cell r="L37">
            <v>1014267</v>
          </cell>
          <cell r="M37">
            <v>1014267</v>
          </cell>
          <cell r="N37">
            <v>1014267</v>
          </cell>
        </row>
        <row r="38">
          <cell r="C38">
            <v>432000</v>
          </cell>
          <cell r="D38">
            <v>432000</v>
          </cell>
          <cell r="E38">
            <v>432000</v>
          </cell>
          <cell r="F38">
            <v>432000</v>
          </cell>
          <cell r="G38">
            <v>432000</v>
          </cell>
          <cell r="H38">
            <v>432000</v>
          </cell>
          <cell r="I38">
            <v>432000</v>
          </cell>
          <cell r="J38">
            <v>432000</v>
          </cell>
          <cell r="K38">
            <v>432000</v>
          </cell>
          <cell r="L38">
            <v>432000</v>
          </cell>
          <cell r="M38">
            <v>432000</v>
          </cell>
          <cell r="N38">
            <v>432000</v>
          </cell>
        </row>
        <row r="39">
          <cell r="C39">
            <v>60000</v>
          </cell>
          <cell r="D39">
            <v>60000</v>
          </cell>
          <cell r="E39">
            <v>60000</v>
          </cell>
          <cell r="F39">
            <v>60000</v>
          </cell>
          <cell r="G39">
            <v>60000</v>
          </cell>
          <cell r="H39">
            <v>60000</v>
          </cell>
          <cell r="I39">
            <v>60000</v>
          </cell>
          <cell r="J39">
            <v>60000</v>
          </cell>
          <cell r="K39">
            <v>60000</v>
          </cell>
          <cell r="L39">
            <v>60000</v>
          </cell>
          <cell r="M39">
            <v>60000</v>
          </cell>
          <cell r="N39">
            <v>60000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1000000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45442875</v>
          </cell>
          <cell r="G42">
            <v>42210415</v>
          </cell>
          <cell r="H42">
            <v>57920925</v>
          </cell>
          <cell r="I42">
            <v>64946401</v>
          </cell>
          <cell r="J42">
            <v>47322730</v>
          </cell>
          <cell r="K42">
            <v>46448649</v>
          </cell>
          <cell r="L42">
            <v>52977130</v>
          </cell>
          <cell r="M42">
            <v>50461899</v>
          </cell>
          <cell r="N42">
            <v>56514529</v>
          </cell>
        </row>
        <row r="43">
          <cell r="C43"/>
          <cell r="D43"/>
          <cell r="E43">
            <v>3760000</v>
          </cell>
          <cell r="F43">
            <v>1500000</v>
          </cell>
          <cell r="G43">
            <v>3300000</v>
          </cell>
          <cell r="H43">
            <v>3700000</v>
          </cell>
          <cell r="I43">
            <v>3000000</v>
          </cell>
          <cell r="J43">
            <v>3500000</v>
          </cell>
          <cell r="K43">
            <v>1800000</v>
          </cell>
          <cell r="L43">
            <v>3500000</v>
          </cell>
          <cell r="M43">
            <v>2300000</v>
          </cell>
          <cell r="N43">
            <v>3140000</v>
          </cell>
        </row>
        <row r="44">
          <cell r="C44">
            <v>6720000</v>
          </cell>
          <cell r="D44">
            <v>6860000</v>
          </cell>
          <cell r="E44">
            <v>3530000</v>
          </cell>
          <cell r="F44">
            <v>595000</v>
          </cell>
          <cell r="G44">
            <v>7500000</v>
          </cell>
          <cell r="H44">
            <v>2320000</v>
          </cell>
          <cell r="I44">
            <v>1915000</v>
          </cell>
          <cell r="J44">
            <v>780000</v>
          </cell>
          <cell r="K44">
            <v>750000</v>
          </cell>
          <cell r="L44">
            <v>1250000</v>
          </cell>
          <cell r="M44">
            <v>1180000</v>
          </cell>
          <cell r="N44">
            <v>4640000</v>
          </cell>
        </row>
        <row r="45">
          <cell r="C45">
            <v>72292899</v>
          </cell>
          <cell r="D45">
            <v>67010324</v>
          </cell>
          <cell r="E45">
            <v>60759220</v>
          </cell>
          <cell r="F45">
            <v>950453</v>
          </cell>
          <cell r="G45">
            <v>9470116</v>
          </cell>
          <cell r="H45">
            <v>3362966</v>
          </cell>
          <cell r="I45">
            <v>0</v>
          </cell>
          <cell r="J45">
            <v>2500000</v>
          </cell>
          <cell r="K45">
            <v>4500000</v>
          </cell>
          <cell r="L45">
            <v>5724000</v>
          </cell>
          <cell r="M45">
            <v>7038849</v>
          </cell>
          <cell r="N45">
            <v>2979228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3560000</v>
          </cell>
          <cell r="G46">
            <v>300000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355556</v>
          </cell>
          <cell r="D47">
            <v>0</v>
          </cell>
          <cell r="E47">
            <v>2916000</v>
          </cell>
          <cell r="F47">
            <v>0</v>
          </cell>
          <cell r="G47">
            <v>0</v>
          </cell>
          <cell r="H47">
            <v>5890612</v>
          </cell>
          <cell r="I47">
            <v>1580000</v>
          </cell>
          <cell r="J47">
            <v>896000</v>
          </cell>
          <cell r="K47">
            <v>0</v>
          </cell>
          <cell r="L47">
            <v>4312000</v>
          </cell>
          <cell r="M47">
            <v>840000</v>
          </cell>
          <cell r="N47">
            <v>256000</v>
          </cell>
        </row>
        <row r="56">
          <cell r="C56">
            <v>6741542</v>
          </cell>
          <cell r="D56">
            <v>10830588</v>
          </cell>
          <cell r="E56">
            <v>2519258</v>
          </cell>
          <cell r="F56">
            <v>4506000</v>
          </cell>
          <cell r="G56">
            <v>14556537</v>
          </cell>
          <cell r="H56">
            <v>12108575</v>
          </cell>
          <cell r="I56">
            <v>8026305</v>
          </cell>
          <cell r="J56">
            <v>4724917</v>
          </cell>
          <cell r="K56">
            <v>2631025</v>
          </cell>
          <cell r="L56">
            <v>7103535</v>
          </cell>
          <cell r="M56">
            <v>6546500</v>
          </cell>
          <cell r="N56">
            <v>11261675</v>
          </cell>
        </row>
        <row r="57">
          <cell r="C57">
            <v>81735800</v>
          </cell>
          <cell r="D57">
            <v>88148700</v>
          </cell>
          <cell r="E57">
            <v>46653675</v>
          </cell>
          <cell r="F57">
            <v>20413600</v>
          </cell>
          <cell r="G57">
            <v>110129800</v>
          </cell>
          <cell r="H57">
            <v>82287800</v>
          </cell>
          <cell r="I57">
            <v>53747800</v>
          </cell>
          <cell r="J57">
            <v>46401625</v>
          </cell>
          <cell r="K57">
            <v>38437376</v>
          </cell>
          <cell r="L57">
            <v>64897100</v>
          </cell>
          <cell r="M57">
            <v>74028650</v>
          </cell>
          <cell r="N57">
            <v>121397550</v>
          </cell>
        </row>
        <row r="58">
          <cell r="C58">
            <v>8790200</v>
          </cell>
          <cell r="D58">
            <v>3819939</v>
          </cell>
          <cell r="E58">
            <v>3675600</v>
          </cell>
          <cell r="F58">
            <v>2298950</v>
          </cell>
          <cell r="G58">
            <v>5655993</v>
          </cell>
          <cell r="H58">
            <v>6923850</v>
          </cell>
          <cell r="I58">
            <v>5151601</v>
          </cell>
          <cell r="J58">
            <v>1551200</v>
          </cell>
          <cell r="K58">
            <v>2875800</v>
          </cell>
          <cell r="L58">
            <v>6041220</v>
          </cell>
          <cell r="M58">
            <v>4677050</v>
          </cell>
          <cell r="N58">
            <v>6199300</v>
          </cell>
        </row>
        <row r="59">
          <cell r="C59">
            <v>7483200</v>
          </cell>
          <cell r="D59">
            <v>5947600</v>
          </cell>
          <cell r="E59">
            <v>5648200</v>
          </cell>
          <cell r="F59">
            <v>5405900</v>
          </cell>
          <cell r="G59">
            <v>14149400</v>
          </cell>
          <cell r="H59">
            <v>11874100</v>
          </cell>
          <cell r="I59">
            <v>9451000</v>
          </cell>
          <cell r="J59">
            <v>4851200</v>
          </cell>
          <cell r="K59">
            <v>6028000</v>
          </cell>
          <cell r="L59">
            <v>10583500</v>
          </cell>
          <cell r="M59">
            <v>11934600</v>
          </cell>
          <cell r="N59">
            <v>4251200</v>
          </cell>
        </row>
        <row r="60">
          <cell r="C60">
            <v>2544700</v>
          </cell>
          <cell r="D60">
            <v>2840185</v>
          </cell>
          <cell r="E60">
            <v>1540817</v>
          </cell>
          <cell r="F60">
            <v>621600</v>
          </cell>
          <cell r="G60">
            <v>1537693</v>
          </cell>
          <cell r="H60">
            <v>627793</v>
          </cell>
          <cell r="I60">
            <v>457620</v>
          </cell>
          <cell r="J60">
            <v>301720</v>
          </cell>
          <cell r="K60">
            <v>384000</v>
          </cell>
          <cell r="L60">
            <v>904000</v>
          </cell>
          <cell r="M60">
            <v>915241</v>
          </cell>
          <cell r="N60">
            <v>745260</v>
          </cell>
        </row>
        <row r="61">
          <cell r="C61">
            <v>29967374</v>
          </cell>
          <cell r="D61">
            <v>35528218</v>
          </cell>
          <cell r="E61">
            <v>26742516</v>
          </cell>
          <cell r="F61">
            <v>26838412</v>
          </cell>
          <cell r="G61">
            <v>12826834</v>
          </cell>
          <cell r="H61">
            <v>34345977</v>
          </cell>
          <cell r="I61">
            <v>33947594</v>
          </cell>
          <cell r="J61">
            <v>23933631</v>
          </cell>
          <cell r="K61">
            <v>11455523</v>
          </cell>
          <cell r="L61">
            <v>17055463</v>
          </cell>
          <cell r="M61">
            <v>20358825</v>
          </cell>
          <cell r="N61">
            <v>22586171</v>
          </cell>
        </row>
        <row r="62">
          <cell r="C62">
            <v>88520</v>
          </cell>
          <cell r="D62">
            <v>64941</v>
          </cell>
          <cell r="E62">
            <v>67993</v>
          </cell>
          <cell r="F62">
            <v>67108</v>
          </cell>
          <cell r="G62">
            <v>63220</v>
          </cell>
          <cell r="H62">
            <v>69491</v>
          </cell>
          <cell r="I62">
            <v>60223</v>
          </cell>
          <cell r="J62">
            <v>60056</v>
          </cell>
          <cell r="K62">
            <v>58668</v>
          </cell>
          <cell r="L62">
            <v>68103</v>
          </cell>
          <cell r="M62">
            <v>58946</v>
          </cell>
          <cell r="N62">
            <v>60333</v>
          </cell>
        </row>
        <row r="63">
          <cell r="C63">
            <v>569100</v>
          </cell>
          <cell r="D63">
            <v>569100</v>
          </cell>
          <cell r="E63">
            <v>569100</v>
          </cell>
          <cell r="F63">
            <v>568600</v>
          </cell>
          <cell r="G63">
            <v>569100</v>
          </cell>
          <cell r="H63">
            <v>568600</v>
          </cell>
          <cell r="I63">
            <v>569100</v>
          </cell>
          <cell r="J63">
            <v>568600</v>
          </cell>
          <cell r="K63">
            <v>568600</v>
          </cell>
          <cell r="L63">
            <v>568600</v>
          </cell>
          <cell r="M63">
            <v>568600</v>
          </cell>
          <cell r="N63">
            <v>568600</v>
          </cell>
        </row>
        <row r="64">
          <cell r="C64">
            <v>1396868</v>
          </cell>
          <cell r="D64">
            <v>1298629</v>
          </cell>
          <cell r="E64">
            <v>1278629</v>
          </cell>
          <cell r="F64">
            <v>1278629</v>
          </cell>
          <cell r="G64">
            <v>1278629</v>
          </cell>
          <cell r="H64">
            <v>1278629</v>
          </cell>
          <cell r="I64">
            <v>1278629</v>
          </cell>
          <cell r="J64">
            <v>1281129</v>
          </cell>
          <cell r="K64">
            <v>1281129</v>
          </cell>
          <cell r="L64">
            <v>1281129</v>
          </cell>
          <cell r="M64">
            <v>1281129</v>
          </cell>
          <cell r="N64">
            <v>1278629</v>
          </cell>
        </row>
        <row r="65">
          <cell r="C65">
            <v>1886289</v>
          </cell>
          <cell r="D65">
            <v>1886289</v>
          </cell>
          <cell r="E65">
            <v>1886289</v>
          </cell>
          <cell r="F65">
            <v>1888289</v>
          </cell>
          <cell r="G65">
            <v>1888289</v>
          </cell>
          <cell r="H65">
            <v>1889289</v>
          </cell>
          <cell r="I65">
            <v>1888289</v>
          </cell>
          <cell r="J65">
            <v>1888286</v>
          </cell>
          <cell r="K65">
            <v>1888289</v>
          </cell>
          <cell r="L65">
            <v>1888289</v>
          </cell>
          <cell r="M65">
            <v>1888289</v>
          </cell>
          <cell r="N65">
            <v>1889289</v>
          </cell>
        </row>
        <row r="66">
          <cell r="C66">
            <v>0</v>
          </cell>
          <cell r="D66">
            <v>220000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765000</v>
          </cell>
          <cell r="M66">
            <v>5518000</v>
          </cell>
          <cell r="N66">
            <v>200000</v>
          </cell>
        </row>
        <row r="67">
          <cell r="C67">
            <v>732025</v>
          </cell>
          <cell r="D67">
            <v>459800</v>
          </cell>
          <cell r="E67">
            <v>105800</v>
          </cell>
          <cell r="F67">
            <v>348500</v>
          </cell>
          <cell r="G67">
            <v>360000</v>
          </cell>
          <cell r="H67">
            <v>0</v>
          </cell>
          <cell r="I67">
            <v>106500</v>
          </cell>
          <cell r="J67">
            <v>275700</v>
          </cell>
          <cell r="K67">
            <v>378000</v>
          </cell>
          <cell r="L67">
            <v>233300</v>
          </cell>
          <cell r="M67">
            <v>702200</v>
          </cell>
          <cell r="N67">
            <v>50300</v>
          </cell>
        </row>
        <row r="68">
          <cell r="C68">
            <v>1750000</v>
          </cell>
          <cell r="D68">
            <v>1750000</v>
          </cell>
          <cell r="E68">
            <v>1750000</v>
          </cell>
          <cell r="F68">
            <v>1750000</v>
          </cell>
          <cell r="G68">
            <v>1750000</v>
          </cell>
          <cell r="H68">
            <v>1750000</v>
          </cell>
          <cell r="I68">
            <v>1750000</v>
          </cell>
          <cell r="J68">
            <v>1750000</v>
          </cell>
          <cell r="K68">
            <v>1750000</v>
          </cell>
          <cell r="L68">
            <v>1750000</v>
          </cell>
          <cell r="M68">
            <v>1750000</v>
          </cell>
          <cell r="N68">
            <v>1750000</v>
          </cell>
        </row>
        <row r="69">
          <cell r="C69">
            <v>7081466</v>
          </cell>
          <cell r="D69">
            <v>1990039</v>
          </cell>
          <cell r="E69">
            <v>236425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85">
          <cell r="C85">
            <v>114000</v>
          </cell>
          <cell r="D85">
            <v>185495</v>
          </cell>
          <cell r="E85">
            <v>185495</v>
          </cell>
          <cell r="F85">
            <v>185495</v>
          </cell>
          <cell r="G85">
            <v>685495</v>
          </cell>
          <cell r="H85">
            <v>0</v>
          </cell>
          <cell r="I85">
            <v>158403</v>
          </cell>
          <cell r="J85">
            <v>0</v>
          </cell>
          <cell r="K85">
            <v>0</v>
          </cell>
          <cell r="L85">
            <v>0</v>
          </cell>
          <cell r="M85"/>
          <cell r="N85"/>
        </row>
      </sheetData>
      <sheetData sheetId="1"/>
      <sheetData sheetId="2"/>
      <sheetData sheetId="3">
        <row r="50">
          <cell r="B50">
            <v>11784850</v>
          </cell>
        </row>
        <row r="52">
          <cell r="B52">
            <v>21229346</v>
          </cell>
        </row>
      </sheetData>
      <sheetData sheetId="4">
        <row r="8">
          <cell r="C8">
            <v>129847</v>
          </cell>
        </row>
      </sheetData>
      <sheetData sheetId="5">
        <row r="28">
          <cell r="C28">
            <v>1774250872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4" zoomScale="106" zoomScaleNormal="106" workbookViewId="0">
      <selection activeCell="C47" sqref="C47"/>
    </sheetView>
  </sheetViews>
  <sheetFormatPr defaultRowHeight="15" x14ac:dyDescent="0.25"/>
  <cols>
    <col min="1" max="1" width="25.5703125" customWidth="1"/>
    <col min="2" max="7" width="13.140625" bestFit="1" customWidth="1"/>
    <col min="8" max="8" width="14.85546875" bestFit="1" customWidth="1"/>
    <col min="9" max="9" width="4" customWidth="1"/>
    <col min="10" max="10" width="25.5703125" customWidth="1"/>
    <col min="11" max="16" width="13.140625" bestFit="1" customWidth="1"/>
    <col min="17" max="17" width="14.85546875" bestFit="1" customWidth="1"/>
  </cols>
  <sheetData>
    <row r="1" spans="1:17" ht="18.75" x14ac:dyDescent="0.3">
      <c r="A1" s="1" t="s">
        <v>0</v>
      </c>
      <c r="J1" s="1" t="s">
        <v>0</v>
      </c>
    </row>
    <row r="3" spans="1:17" s="2" customForma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/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</row>
    <row r="4" spans="1:17" x14ac:dyDescent="0.25">
      <c r="A4" t="s">
        <v>15</v>
      </c>
      <c r="B4" s="4">
        <f>SUM('[1]Jurnal Komparatif'!C4:C7)</f>
        <v>487606000</v>
      </c>
      <c r="C4" s="4">
        <f>SUM('[1]Jurnal Komparatif'!D4:D7)</f>
        <v>427539000</v>
      </c>
      <c r="D4" s="4">
        <f>SUM('[1]Jurnal Komparatif'!E4:E7)</f>
        <v>235418500</v>
      </c>
      <c r="E4" s="4">
        <f>SUM('[1]Jurnal Komparatif'!F4:F7)</f>
        <v>61784000</v>
      </c>
      <c r="F4" s="4">
        <f>SUM('[1]Jurnal Komparatif'!G4:G7)</f>
        <v>572003000</v>
      </c>
      <c r="G4" s="4">
        <f>SUM('[1]Jurnal Komparatif'!H4:H7)</f>
        <v>406227000</v>
      </c>
      <c r="H4" s="4">
        <f>SUM(B4:G4)</f>
        <v>2190577500</v>
      </c>
      <c r="I4" s="4"/>
      <c r="J4" t="s">
        <v>15</v>
      </c>
      <c r="K4" s="4">
        <f>SUM('[1]Jurnal Komparatif'!I4:I7)</f>
        <v>210477088</v>
      </c>
      <c r="L4" s="4">
        <f>SUM('[1]Jurnal Komparatif'!J4:J7)</f>
        <v>182078500</v>
      </c>
      <c r="M4" s="4">
        <f>SUM('[1]Jurnal Komparatif'!K4:K7)</f>
        <v>161590000</v>
      </c>
      <c r="N4" s="4">
        <f>SUM('[1]Jurnal Komparatif'!L4:L7)</f>
        <v>265155000</v>
      </c>
      <c r="O4" s="4">
        <f>SUM('[1]Jurnal Komparatif'!M4:M7)</f>
        <v>345772000</v>
      </c>
      <c r="P4" s="4">
        <f>SUM('[1]Jurnal Komparatif'!N4:N7)</f>
        <v>601900000</v>
      </c>
      <c r="Q4" s="4">
        <f>SUM(K4:P4)+H4</f>
        <v>3957550088</v>
      </c>
    </row>
    <row r="5" spans="1:17" x14ac:dyDescent="0.25">
      <c r="A5" t="s">
        <v>16</v>
      </c>
      <c r="B5" s="4">
        <f>SUM('[1]Jurnal Komparatif'!C8:C10)</f>
        <v>5360000</v>
      </c>
      <c r="C5" s="4">
        <f>SUM('[1]Jurnal Komparatif'!D8:D10)</f>
        <v>1130000</v>
      </c>
      <c r="D5" s="4">
        <f>SUM('[1]Jurnal Komparatif'!E8:E10)</f>
        <v>14130000</v>
      </c>
      <c r="E5" s="4">
        <f>SUM('[1]Jurnal Komparatif'!F8:F10)</f>
        <v>37597500</v>
      </c>
      <c r="F5" s="4">
        <f>SUM('[1]Jurnal Komparatif'!G8:G10)</f>
        <v>3030000</v>
      </c>
      <c r="G5" s="4">
        <f>SUM('[1]Jurnal Komparatif'!H8:H10)</f>
        <v>15995000</v>
      </c>
      <c r="H5" s="4">
        <f t="shared" ref="H5:H26" si="0">SUM(B5:G5)</f>
        <v>77242500</v>
      </c>
      <c r="I5" s="4"/>
      <c r="J5" t="s">
        <v>16</v>
      </c>
      <c r="K5" s="4">
        <f>SUM('[1]Jurnal Komparatif'!I8:I10)</f>
        <v>35567500</v>
      </c>
      <c r="L5" s="4">
        <f>SUM('[1]Jurnal Komparatif'!J8:J10)</f>
        <v>17729000</v>
      </c>
      <c r="M5" s="4">
        <f>SUM('[1]Jurnal Komparatif'!K8:K10)</f>
        <v>18062621</v>
      </c>
      <c r="N5" s="4">
        <f>SUM('[1]Jurnal Komparatif'!L8:L10)</f>
        <v>11270900</v>
      </c>
      <c r="O5" s="4">
        <f>SUM('[1]Jurnal Komparatif'!M8:M10)</f>
        <v>8890000</v>
      </c>
      <c r="P5" s="4">
        <f>SUM('[1]Jurnal Komparatif'!N8:N10)</f>
        <v>7255000</v>
      </c>
      <c r="Q5" s="4">
        <f t="shared" ref="Q5:Q26" si="1">SUM(K5:P5)+H5</f>
        <v>176017521</v>
      </c>
    </row>
    <row r="6" spans="1:17" x14ac:dyDescent="0.25">
      <c r="A6" t="s">
        <v>17</v>
      </c>
      <c r="B6" s="4">
        <f>SUM('[1]Jurnal Komparatif'!C11:C12)</f>
        <v>3672793</v>
      </c>
      <c r="C6" s="4">
        <f>SUM('[1]Jurnal Komparatif'!D11:D12)</f>
        <v>2099361</v>
      </c>
      <c r="D6" s="4">
        <f>SUM('[1]Jurnal Komparatif'!E11:E12)</f>
        <v>6947931</v>
      </c>
      <c r="E6" s="4">
        <f>SUM('[1]Jurnal Komparatif'!F11:F12)</f>
        <v>27041895</v>
      </c>
      <c r="F6" s="4">
        <f>SUM('[1]Jurnal Komparatif'!G11:G12)</f>
        <v>40721498</v>
      </c>
      <c r="G6" s="4">
        <f>SUM('[1]Jurnal Komparatif'!H11:H12)</f>
        <v>1206314</v>
      </c>
      <c r="H6" s="4">
        <f t="shared" si="0"/>
        <v>81689792</v>
      </c>
      <c r="I6" s="4"/>
      <c r="J6" t="s">
        <v>17</v>
      </c>
      <c r="K6" s="4">
        <f>SUM('[1]Jurnal Komparatif'!I11:I12)</f>
        <v>20602383</v>
      </c>
      <c r="L6" s="4">
        <f>SUM('[1]Jurnal Komparatif'!J11:J12)</f>
        <v>11942759</v>
      </c>
      <c r="M6" s="4">
        <f>SUM('[1]Jurnal Komparatif'!K11:K12)</f>
        <v>11807992</v>
      </c>
      <c r="N6" s="4">
        <f>SUM('[1]Jurnal Komparatif'!L11:L12)</f>
        <v>8014295</v>
      </c>
      <c r="O6" s="4">
        <f>SUM('[1]Jurnal Komparatif'!M11:M12)</f>
        <v>1599898</v>
      </c>
      <c r="P6" s="4">
        <f>SUM('[1]Jurnal Komparatif'!N11:N12)</f>
        <v>3621933</v>
      </c>
      <c r="Q6" s="4">
        <f t="shared" si="1"/>
        <v>139279052</v>
      </c>
    </row>
    <row r="7" spans="1:17" x14ac:dyDescent="0.25">
      <c r="A7" t="s">
        <v>18</v>
      </c>
      <c r="B7" s="4">
        <f>SUM('[1]Jurnal Komparatif'!C13:C17)</f>
        <v>9345000</v>
      </c>
      <c r="C7" s="4">
        <f>SUM('[1]Jurnal Komparatif'!D13:D17)</f>
        <v>2770000</v>
      </c>
      <c r="D7" s="4">
        <f>SUM('[1]Jurnal Komparatif'!E13:E17)</f>
        <v>3300000</v>
      </c>
      <c r="E7" s="4">
        <f>SUM('[1]Jurnal Komparatif'!F13:F17)</f>
        <v>1036000</v>
      </c>
      <c r="F7" s="4">
        <f>SUM('[1]Jurnal Komparatif'!G13:G17)</f>
        <v>3625000</v>
      </c>
      <c r="G7" s="4">
        <f>SUM('[1]Jurnal Komparatif'!H13:H17)</f>
        <v>4168000</v>
      </c>
      <c r="H7" s="4">
        <f t="shared" si="0"/>
        <v>24244000</v>
      </c>
      <c r="I7" s="4"/>
      <c r="J7" t="s">
        <v>18</v>
      </c>
      <c r="K7" s="4">
        <f>SUM('[1]Jurnal Komparatif'!I13:I17)</f>
        <v>4596500</v>
      </c>
      <c r="L7" s="4">
        <f>SUM('[1]Jurnal Komparatif'!J13:J17)</f>
        <v>3272000</v>
      </c>
      <c r="M7" s="4">
        <f>SUM('[1]Jurnal Komparatif'!K13:K17)</f>
        <v>3780000</v>
      </c>
      <c r="N7" s="4">
        <f>SUM('[1]Jurnal Komparatif'!L13:L17)</f>
        <v>4720000</v>
      </c>
      <c r="O7" s="4">
        <f>SUM('[1]Jurnal Komparatif'!M13:M17)</f>
        <v>5120000</v>
      </c>
      <c r="P7" s="4">
        <f>SUM('[1]Jurnal Komparatif'!N13:N17)</f>
        <v>4225500</v>
      </c>
      <c r="Q7" s="4">
        <f t="shared" si="1"/>
        <v>49958000</v>
      </c>
    </row>
    <row r="8" spans="1:17" x14ac:dyDescent="0.25">
      <c r="A8" t="s">
        <v>19</v>
      </c>
      <c r="B8" s="4">
        <f>SUM('[1]Jurnal Komparatif'!C18:C21)</f>
        <v>717432</v>
      </c>
      <c r="C8" s="4">
        <f>SUM('[1]Jurnal Komparatif'!D18:D21)</f>
        <v>709094</v>
      </c>
      <c r="D8" s="4">
        <f>SUM('[1]Jurnal Komparatif'!E18:E21)</f>
        <v>252245</v>
      </c>
      <c r="E8" s="4">
        <f>SUM('[1]Jurnal Komparatif'!F18:F21)</f>
        <v>2240824</v>
      </c>
      <c r="F8" s="4">
        <f>SUM('[1]Jurnal Komparatif'!G18:G21)</f>
        <v>1564760</v>
      </c>
      <c r="G8" s="4">
        <f>SUM('[1]Jurnal Komparatif'!H18:H21)</f>
        <v>2202839</v>
      </c>
      <c r="H8" s="4">
        <f t="shared" si="0"/>
        <v>7687194</v>
      </c>
      <c r="I8" s="4"/>
      <c r="J8" t="s">
        <v>19</v>
      </c>
      <c r="K8" s="4">
        <f>SUM('[1]Jurnal Komparatif'!I18:I21)</f>
        <v>2077434</v>
      </c>
      <c r="L8" s="4">
        <f>SUM('[1]Jurnal Komparatif'!J18:J21)</f>
        <v>1885860</v>
      </c>
      <c r="M8" s="4">
        <f>SUM('[1]Jurnal Komparatif'!K18:K21)</f>
        <v>2035343</v>
      </c>
      <c r="N8" s="4">
        <f>SUM('[1]Jurnal Komparatif'!L18:L21)</f>
        <v>3041037</v>
      </c>
      <c r="O8" s="4">
        <f>SUM('[1]Jurnal Komparatif'!M18:M21)</f>
        <v>15996755</v>
      </c>
      <c r="P8" s="4">
        <f>SUM('[1]Jurnal Komparatif'!N18:N21)</f>
        <v>2297136</v>
      </c>
      <c r="Q8" s="4">
        <f t="shared" si="1"/>
        <v>35020759</v>
      </c>
    </row>
    <row r="9" spans="1:17" ht="15.75" thickBot="1" x14ac:dyDescent="0.3">
      <c r="A9" t="s">
        <v>20</v>
      </c>
      <c r="B9" s="5">
        <f>SUM(B4:B8)</f>
        <v>506701225</v>
      </c>
      <c r="C9" s="5">
        <f t="shared" ref="C9:Q9" si="2">SUM(C4:C8)</f>
        <v>434247455</v>
      </c>
      <c r="D9" s="5">
        <f t="shared" si="2"/>
        <v>260048676</v>
      </c>
      <c r="E9" s="5">
        <f t="shared" si="2"/>
        <v>129700219</v>
      </c>
      <c r="F9" s="5">
        <f t="shared" si="2"/>
        <v>620944258</v>
      </c>
      <c r="G9" s="5">
        <f t="shared" si="2"/>
        <v>429799153</v>
      </c>
      <c r="H9" s="5">
        <f t="shared" si="2"/>
        <v>2381440986</v>
      </c>
      <c r="I9" s="4"/>
      <c r="J9" t="s">
        <v>20</v>
      </c>
      <c r="K9" s="5">
        <f t="shared" si="2"/>
        <v>273320905</v>
      </c>
      <c r="L9" s="5">
        <f t="shared" si="2"/>
        <v>216908119</v>
      </c>
      <c r="M9" s="5">
        <f t="shared" si="2"/>
        <v>197275956</v>
      </c>
      <c r="N9" s="5">
        <f t="shared" si="2"/>
        <v>292201232</v>
      </c>
      <c r="O9" s="5">
        <f t="shared" si="2"/>
        <v>377378653</v>
      </c>
      <c r="P9" s="5">
        <f t="shared" si="2"/>
        <v>619299569</v>
      </c>
      <c r="Q9" s="5">
        <f t="shared" si="2"/>
        <v>4357825420</v>
      </c>
    </row>
    <row r="10" spans="1:17" x14ac:dyDescent="0.25">
      <c r="A10" t="s">
        <v>21</v>
      </c>
      <c r="B10" s="4">
        <f>'[1]Jurnal Komparatif'!C33</f>
        <v>970000</v>
      </c>
      <c r="C10" s="4">
        <f>'[1]Jurnal Komparatif'!D33</f>
        <v>0</v>
      </c>
      <c r="D10" s="4">
        <f>'[1]Jurnal Komparatif'!E33</f>
        <v>1561000</v>
      </c>
      <c r="E10" s="4">
        <f>'[1]Jurnal Komparatif'!F33</f>
        <v>2500000</v>
      </c>
      <c r="F10" s="4">
        <f>'[1]Jurnal Komparatif'!G33</f>
        <v>0</v>
      </c>
      <c r="G10" s="4">
        <f>'[1]Jurnal Komparatif'!H33</f>
        <v>1000000</v>
      </c>
      <c r="H10" s="4">
        <f t="shared" si="0"/>
        <v>6031000</v>
      </c>
      <c r="I10" s="4"/>
      <c r="J10" t="s">
        <v>21</v>
      </c>
      <c r="K10" s="4">
        <f>'[1]Jurnal Komparatif'!I33</f>
        <v>430000</v>
      </c>
      <c r="L10" s="4">
        <f>'[1]Jurnal Komparatif'!J33</f>
        <v>1000000</v>
      </c>
      <c r="M10" s="4">
        <f>'[1]Jurnal Komparatif'!K33</f>
        <v>0</v>
      </c>
      <c r="N10" s="4">
        <f>'[1]Jurnal Komparatif'!L33</f>
        <v>0</v>
      </c>
      <c r="O10" s="4">
        <f>'[1]Jurnal Komparatif'!M33</f>
        <v>884950</v>
      </c>
      <c r="P10" s="4">
        <f>'[1]Jurnal Komparatif'!N33</f>
        <v>1200000</v>
      </c>
      <c r="Q10" s="4">
        <f t="shared" si="1"/>
        <v>9545950</v>
      </c>
    </row>
    <row r="11" spans="1:17" x14ac:dyDescent="0.25">
      <c r="A11" t="s">
        <v>22</v>
      </c>
      <c r="B11" s="4">
        <f>SUM('[1]Jurnal Komparatif'!C34:C39)</f>
        <v>6662817</v>
      </c>
      <c r="C11" s="4">
        <f>SUM('[1]Jurnal Komparatif'!D34:D39)</f>
        <v>4813767</v>
      </c>
      <c r="D11" s="4">
        <f>SUM('[1]Jurnal Komparatif'!E34:E39)</f>
        <v>3349017</v>
      </c>
      <c r="E11" s="4">
        <f>SUM('[1]Jurnal Komparatif'!F34:F39)</f>
        <v>6680801</v>
      </c>
      <c r="F11" s="4">
        <f>SUM('[1]Jurnal Komparatif'!G34:G39)</f>
        <v>2481001</v>
      </c>
      <c r="G11" s="4">
        <f>SUM('[1]Jurnal Komparatif'!H34:H39)</f>
        <v>3428281</v>
      </c>
      <c r="H11" s="4">
        <f t="shared" si="0"/>
        <v>27415684</v>
      </c>
      <c r="I11" s="4"/>
      <c r="J11" t="s">
        <v>22</v>
      </c>
      <c r="K11" s="4">
        <f>SUM('[1]Jurnal Komparatif'!I34:I39)</f>
        <v>4118001</v>
      </c>
      <c r="L11" s="4">
        <f>SUM('[1]Jurnal Komparatif'!J34:J39)</f>
        <v>4484001</v>
      </c>
      <c r="M11" s="4">
        <f>SUM('[1]Jurnal Komparatif'!K34:K39)</f>
        <v>4789001</v>
      </c>
      <c r="N11" s="4">
        <f>SUM('[1]Jurnal Komparatif'!L34:L39)</f>
        <v>5663001</v>
      </c>
      <c r="O11" s="4">
        <f>SUM('[1]Jurnal Komparatif'!M34:M39)</f>
        <v>8253001</v>
      </c>
      <c r="P11" s="4">
        <f>SUM('[1]Jurnal Komparatif'!N34:N39)</f>
        <v>11071001</v>
      </c>
      <c r="Q11" s="4">
        <f t="shared" si="1"/>
        <v>65793690</v>
      </c>
    </row>
    <row r="12" spans="1:17" s="2" customFormat="1" ht="15.75" thickBot="1" x14ac:dyDescent="0.3">
      <c r="A12" s="2" t="s">
        <v>23</v>
      </c>
      <c r="B12" s="6">
        <f>B9-B10-B11</f>
        <v>499068408</v>
      </c>
      <c r="C12" s="6">
        <f t="shared" ref="C12:Q12" si="3">C9-C10-C11</f>
        <v>429433688</v>
      </c>
      <c r="D12" s="6">
        <f t="shared" si="3"/>
        <v>255138659</v>
      </c>
      <c r="E12" s="6">
        <f t="shared" si="3"/>
        <v>120519418</v>
      </c>
      <c r="F12" s="6">
        <f t="shared" si="3"/>
        <v>618463257</v>
      </c>
      <c r="G12" s="6">
        <f t="shared" si="3"/>
        <v>425370872</v>
      </c>
      <c r="H12" s="6">
        <f t="shared" si="3"/>
        <v>2347994302</v>
      </c>
      <c r="I12" s="7"/>
      <c r="J12" s="2" t="s">
        <v>23</v>
      </c>
      <c r="K12" s="6">
        <f t="shared" si="3"/>
        <v>268772904</v>
      </c>
      <c r="L12" s="6">
        <f t="shared" si="3"/>
        <v>211424118</v>
      </c>
      <c r="M12" s="6">
        <f t="shared" si="3"/>
        <v>192486955</v>
      </c>
      <c r="N12" s="6">
        <f t="shared" si="3"/>
        <v>286538231</v>
      </c>
      <c r="O12" s="6">
        <f t="shared" si="3"/>
        <v>368240702</v>
      </c>
      <c r="P12" s="6">
        <f t="shared" si="3"/>
        <v>607028568</v>
      </c>
      <c r="Q12" s="6">
        <f t="shared" si="3"/>
        <v>4282485780</v>
      </c>
    </row>
    <row r="13" spans="1:17" ht="15.75" thickTop="1" x14ac:dyDescent="0.25">
      <c r="H13" s="4">
        <f t="shared" si="0"/>
        <v>0</v>
      </c>
      <c r="Q13" s="4">
        <f t="shared" si="1"/>
        <v>0</v>
      </c>
    </row>
    <row r="14" spans="1:17" x14ac:dyDescent="0.25">
      <c r="A14" t="s">
        <v>24</v>
      </c>
      <c r="B14" s="4">
        <f t="shared" ref="B14:P14" si="4">B41</f>
        <v>92319638</v>
      </c>
      <c r="C14" s="4">
        <f t="shared" si="4"/>
        <v>86821507</v>
      </c>
      <c r="D14" s="4">
        <f t="shared" si="4"/>
        <v>83841403</v>
      </c>
      <c r="E14" s="4">
        <f t="shared" si="4"/>
        <v>65299511</v>
      </c>
      <c r="F14" s="4">
        <f t="shared" si="4"/>
        <v>75931714</v>
      </c>
      <c r="G14" s="4">
        <f t="shared" si="4"/>
        <v>86245686</v>
      </c>
      <c r="H14" s="4">
        <f t="shared" si="0"/>
        <v>490459459</v>
      </c>
      <c r="I14" s="4"/>
      <c r="J14" t="s">
        <v>24</v>
      </c>
      <c r="K14" s="4">
        <f t="shared" si="4"/>
        <v>84092584</v>
      </c>
      <c r="L14" s="4">
        <f t="shared" si="4"/>
        <v>68749913</v>
      </c>
      <c r="M14" s="4">
        <f t="shared" si="4"/>
        <v>66749832</v>
      </c>
      <c r="N14" s="4">
        <f t="shared" si="4"/>
        <v>81014313</v>
      </c>
      <c r="O14" s="4">
        <f t="shared" si="4"/>
        <v>74971931</v>
      </c>
      <c r="P14" s="4">
        <f t="shared" si="4"/>
        <v>80680940</v>
      </c>
      <c r="Q14" s="4">
        <f t="shared" si="1"/>
        <v>946718972</v>
      </c>
    </row>
    <row r="15" spans="1:17" x14ac:dyDescent="0.25">
      <c r="A15" t="s">
        <v>25</v>
      </c>
      <c r="B15" s="4">
        <f>'[1]Jurnal Komparatif'!C56+'[1]Jurnal Komparatif'!C66+'[1]Jurnal Komparatif'!C67+'[1]Jurnal Komparatif'!C68+'[1]Jurnal Komparatif'!C85</f>
        <v>9337567</v>
      </c>
      <c r="C15" s="4">
        <f>'[1]Jurnal Komparatif'!D56+'[1]Jurnal Komparatif'!D66+'[1]Jurnal Komparatif'!D67+'[1]Jurnal Komparatif'!D68+'[1]Jurnal Komparatif'!D85</f>
        <v>13445883</v>
      </c>
      <c r="D15" s="4">
        <f>'[1]Jurnal Komparatif'!E56+'[1]Jurnal Komparatif'!E66+'[1]Jurnal Komparatif'!E67+'[1]Jurnal Komparatif'!E68+'[1]Jurnal Komparatif'!E85</f>
        <v>4560553</v>
      </c>
      <c r="E15" s="4">
        <f>'[1]Jurnal Komparatif'!F56+'[1]Jurnal Komparatif'!F66+'[1]Jurnal Komparatif'!F67+'[1]Jurnal Komparatif'!F68+'[1]Jurnal Komparatif'!F85</f>
        <v>6789995</v>
      </c>
      <c r="F15" s="4">
        <f>'[1]Jurnal Komparatif'!G56+'[1]Jurnal Komparatif'!G66+'[1]Jurnal Komparatif'!G67+'[1]Jurnal Komparatif'!G68+'[1]Jurnal Komparatif'!G85</f>
        <v>17352032</v>
      </c>
      <c r="G15" s="4">
        <f>'[1]Jurnal Komparatif'!H56+'[1]Jurnal Komparatif'!H66+'[1]Jurnal Komparatif'!H67+'[1]Jurnal Komparatif'!H68+'[1]Jurnal Komparatif'!H85</f>
        <v>13858575</v>
      </c>
      <c r="H15" s="4">
        <f t="shared" si="0"/>
        <v>65344605</v>
      </c>
      <c r="I15" s="4"/>
      <c r="J15" t="s">
        <v>25</v>
      </c>
      <c r="K15" s="4">
        <f>'[1]Jurnal Komparatif'!I56+'[1]Jurnal Komparatif'!I66+'[1]Jurnal Komparatif'!I67+'[1]Jurnal Komparatif'!I68+'[1]Jurnal Komparatif'!I85</f>
        <v>10041208</v>
      </c>
      <c r="L15" s="4">
        <f>'[1]Jurnal Komparatif'!J56+'[1]Jurnal Komparatif'!J66+'[1]Jurnal Komparatif'!J67+'[1]Jurnal Komparatif'!J68+'[1]Jurnal Komparatif'!J85</f>
        <v>6750617</v>
      </c>
      <c r="M15" s="4">
        <f>'[1]Jurnal Komparatif'!K56+'[1]Jurnal Komparatif'!K66+'[1]Jurnal Komparatif'!K67+'[1]Jurnal Komparatif'!K68+'[1]Jurnal Komparatif'!K85</f>
        <v>4759025</v>
      </c>
      <c r="N15" s="4">
        <f>'[1]Jurnal Komparatif'!L56+'[1]Jurnal Komparatif'!L66+'[1]Jurnal Komparatif'!L67+'[1]Jurnal Komparatif'!L68+'[1]Jurnal Komparatif'!L85</f>
        <v>9851835</v>
      </c>
      <c r="O15" s="4">
        <f>'[1]Jurnal Komparatif'!M56+'[1]Jurnal Komparatif'!M66+'[1]Jurnal Komparatif'!M67+'[1]Jurnal Komparatif'!M68+'[1]Jurnal Komparatif'!M85</f>
        <v>14516700</v>
      </c>
      <c r="P15" s="4">
        <f>'[1]Jurnal Komparatif'!N56+'[1]Jurnal Komparatif'!N66+'[1]Jurnal Komparatif'!N67+'[1]Jurnal Komparatif'!N68+'[1]Jurnal Komparatif'!N85</f>
        <v>13261975</v>
      </c>
      <c r="Q15" s="4">
        <f t="shared" si="1"/>
        <v>124525965</v>
      </c>
    </row>
    <row r="16" spans="1:17" x14ac:dyDescent="0.25">
      <c r="A16" t="s">
        <v>26</v>
      </c>
      <c r="B16" s="4">
        <f>'[1]Jurnal Komparatif'!C57</f>
        <v>81735800</v>
      </c>
      <c r="C16" s="4">
        <f>'[1]Jurnal Komparatif'!D57</f>
        <v>88148700</v>
      </c>
      <c r="D16" s="4">
        <f>'[1]Jurnal Komparatif'!E57</f>
        <v>46653675</v>
      </c>
      <c r="E16" s="4">
        <f>'[1]Jurnal Komparatif'!F57</f>
        <v>20413600</v>
      </c>
      <c r="F16" s="4">
        <f>'[1]Jurnal Komparatif'!G57</f>
        <v>110129800</v>
      </c>
      <c r="G16" s="4">
        <f>'[1]Jurnal Komparatif'!H57</f>
        <v>82287800</v>
      </c>
      <c r="H16" s="4">
        <f t="shared" si="0"/>
        <v>429369375</v>
      </c>
      <c r="I16" s="4"/>
      <c r="J16" t="s">
        <v>26</v>
      </c>
      <c r="K16" s="4">
        <f>'[1]Jurnal Komparatif'!I57</f>
        <v>53747800</v>
      </c>
      <c r="L16" s="4">
        <f>'[1]Jurnal Komparatif'!J57</f>
        <v>46401625</v>
      </c>
      <c r="M16" s="4">
        <f>'[1]Jurnal Komparatif'!K57</f>
        <v>38437376</v>
      </c>
      <c r="N16" s="4">
        <f>'[1]Jurnal Komparatif'!L57</f>
        <v>64897100</v>
      </c>
      <c r="O16" s="4">
        <f>'[1]Jurnal Komparatif'!M57</f>
        <v>74028650</v>
      </c>
      <c r="P16" s="4">
        <f>'[1]Jurnal Komparatif'!N57</f>
        <v>121397550</v>
      </c>
      <c r="Q16" s="4">
        <f t="shared" si="1"/>
        <v>828279476</v>
      </c>
    </row>
    <row r="17" spans="1:17" x14ac:dyDescent="0.25">
      <c r="A17" t="s">
        <v>27</v>
      </c>
      <c r="B17" s="4">
        <f>'[1]Jurnal Komparatif'!C58</f>
        <v>8790200</v>
      </c>
      <c r="C17" s="4">
        <f>'[1]Jurnal Komparatif'!D58</f>
        <v>3819939</v>
      </c>
      <c r="D17" s="4">
        <f>'[1]Jurnal Komparatif'!E58</f>
        <v>3675600</v>
      </c>
      <c r="E17" s="4">
        <f>'[1]Jurnal Komparatif'!F58</f>
        <v>2298950</v>
      </c>
      <c r="F17" s="4">
        <f>'[1]Jurnal Komparatif'!G58</f>
        <v>5655993</v>
      </c>
      <c r="G17" s="4">
        <f>'[1]Jurnal Komparatif'!H58</f>
        <v>6923850</v>
      </c>
      <c r="H17" s="4">
        <f t="shared" si="0"/>
        <v>31164532</v>
      </c>
      <c r="I17" s="4"/>
      <c r="J17" t="s">
        <v>27</v>
      </c>
      <c r="K17" s="4">
        <f>'[1]Jurnal Komparatif'!I58</f>
        <v>5151601</v>
      </c>
      <c r="L17" s="4">
        <f>'[1]Jurnal Komparatif'!J58</f>
        <v>1551200</v>
      </c>
      <c r="M17" s="4">
        <f>'[1]Jurnal Komparatif'!K58</f>
        <v>2875800</v>
      </c>
      <c r="N17" s="4">
        <f>'[1]Jurnal Komparatif'!L58</f>
        <v>6041220</v>
      </c>
      <c r="O17" s="4">
        <f>'[1]Jurnal Komparatif'!M58</f>
        <v>4677050</v>
      </c>
      <c r="P17" s="4">
        <f>'[1]Jurnal Komparatif'!N58</f>
        <v>6199300</v>
      </c>
      <c r="Q17" s="4">
        <f t="shared" si="1"/>
        <v>57660703</v>
      </c>
    </row>
    <row r="18" spans="1:17" x14ac:dyDescent="0.25">
      <c r="A18" t="s">
        <v>28</v>
      </c>
      <c r="B18" s="4">
        <f>'[1]Jurnal Komparatif'!C59</f>
        <v>7483200</v>
      </c>
      <c r="C18" s="4">
        <f>'[1]Jurnal Komparatif'!D59</f>
        <v>5947600</v>
      </c>
      <c r="D18" s="4">
        <f>'[1]Jurnal Komparatif'!E59</f>
        <v>5648200</v>
      </c>
      <c r="E18" s="4">
        <f>'[1]Jurnal Komparatif'!F59</f>
        <v>5405900</v>
      </c>
      <c r="F18" s="4">
        <f>'[1]Jurnal Komparatif'!G59</f>
        <v>14149400</v>
      </c>
      <c r="G18" s="4">
        <f>'[1]Jurnal Komparatif'!H59</f>
        <v>11874100</v>
      </c>
      <c r="H18" s="4">
        <f t="shared" si="0"/>
        <v>50508400</v>
      </c>
      <c r="I18" s="4"/>
      <c r="J18" t="s">
        <v>28</v>
      </c>
      <c r="K18" s="4">
        <f>'[1]Jurnal Komparatif'!I59</f>
        <v>9451000</v>
      </c>
      <c r="L18" s="4">
        <f>'[1]Jurnal Komparatif'!J59</f>
        <v>4851200</v>
      </c>
      <c r="M18" s="4">
        <f>'[1]Jurnal Komparatif'!K59</f>
        <v>6028000</v>
      </c>
      <c r="N18" s="4">
        <f>'[1]Jurnal Komparatif'!L59</f>
        <v>10583500</v>
      </c>
      <c r="O18" s="4">
        <f>'[1]Jurnal Komparatif'!M59</f>
        <v>11934600</v>
      </c>
      <c r="P18" s="4">
        <f>'[1]Jurnal Komparatif'!N59</f>
        <v>4251200</v>
      </c>
      <c r="Q18" s="4">
        <f t="shared" si="1"/>
        <v>97607900</v>
      </c>
    </row>
    <row r="19" spans="1:17" x14ac:dyDescent="0.25">
      <c r="A19" t="s">
        <v>29</v>
      </c>
      <c r="B19" s="4">
        <f>'[1]Jurnal Komparatif'!C64+'[1]Jurnal Komparatif'!C65</f>
        <v>3283157</v>
      </c>
      <c r="C19" s="4">
        <f>'[1]Jurnal Komparatif'!D64+'[1]Jurnal Komparatif'!D65</f>
        <v>3184918</v>
      </c>
      <c r="D19" s="4">
        <f>'[1]Jurnal Komparatif'!E64+'[1]Jurnal Komparatif'!E65</f>
        <v>3164918</v>
      </c>
      <c r="E19" s="4">
        <f>'[1]Jurnal Komparatif'!F64+'[1]Jurnal Komparatif'!F65</f>
        <v>3166918</v>
      </c>
      <c r="F19" s="4">
        <f>'[1]Jurnal Komparatif'!G64+'[1]Jurnal Komparatif'!G65</f>
        <v>3166918</v>
      </c>
      <c r="G19" s="4">
        <f>'[1]Jurnal Komparatif'!H64+'[1]Jurnal Komparatif'!H65</f>
        <v>3167918</v>
      </c>
      <c r="H19" s="4">
        <f t="shared" si="0"/>
        <v>19134747</v>
      </c>
      <c r="I19" s="4"/>
      <c r="J19" t="s">
        <v>29</v>
      </c>
      <c r="K19" s="4">
        <f>'[1]Jurnal Komparatif'!I64+'[1]Jurnal Komparatif'!I65</f>
        <v>3166918</v>
      </c>
      <c r="L19" s="4">
        <f>'[1]Jurnal Komparatif'!J64+'[1]Jurnal Komparatif'!J65</f>
        <v>3169415</v>
      </c>
      <c r="M19" s="4">
        <f>'[1]Jurnal Komparatif'!K64+'[1]Jurnal Komparatif'!K65</f>
        <v>3169418</v>
      </c>
      <c r="N19" s="4">
        <f>'[1]Jurnal Komparatif'!L64+'[1]Jurnal Komparatif'!L65</f>
        <v>3169418</v>
      </c>
      <c r="O19" s="4">
        <f>'[1]Jurnal Komparatif'!M64+'[1]Jurnal Komparatif'!M65</f>
        <v>3169418</v>
      </c>
      <c r="P19" s="4">
        <f>'[1]Jurnal Komparatif'!N64+'[1]Jurnal Komparatif'!N65</f>
        <v>3167918</v>
      </c>
      <c r="Q19" s="4">
        <f t="shared" si="1"/>
        <v>38147252</v>
      </c>
    </row>
    <row r="20" spans="1:17" x14ac:dyDescent="0.25">
      <c r="A20" t="s">
        <v>30</v>
      </c>
      <c r="B20" s="4">
        <f>'[1]Jurnal Komparatif'!C61+'[1]Jurnal Komparatif'!C62+'[1]Jurnal Komparatif'!C63</f>
        <v>30624994</v>
      </c>
      <c r="C20" s="4">
        <f>'[1]Jurnal Komparatif'!D61+'[1]Jurnal Komparatif'!D62+'[1]Jurnal Komparatif'!D63</f>
        <v>36162259</v>
      </c>
      <c r="D20" s="4">
        <f>'[1]Jurnal Komparatif'!E61+'[1]Jurnal Komparatif'!E62+'[1]Jurnal Komparatif'!E63</f>
        <v>27379609</v>
      </c>
      <c r="E20" s="4">
        <f>'[1]Jurnal Komparatif'!F61+'[1]Jurnal Komparatif'!F62+'[1]Jurnal Komparatif'!F63</f>
        <v>27474120</v>
      </c>
      <c r="F20" s="4">
        <f>'[1]Jurnal Komparatif'!G61+'[1]Jurnal Komparatif'!G62+'[1]Jurnal Komparatif'!G63</f>
        <v>13459154</v>
      </c>
      <c r="G20" s="4">
        <f>'[1]Jurnal Komparatif'!H61+'[1]Jurnal Komparatif'!H62+'[1]Jurnal Komparatif'!H63</f>
        <v>34984068</v>
      </c>
      <c r="H20" s="4">
        <f t="shared" si="0"/>
        <v>170084204</v>
      </c>
      <c r="I20" s="4"/>
      <c r="J20" t="s">
        <v>30</v>
      </c>
      <c r="K20" s="4">
        <f>'[1]Jurnal Komparatif'!I61+'[1]Jurnal Komparatif'!I62+'[1]Jurnal Komparatif'!I63</f>
        <v>34576917</v>
      </c>
      <c r="L20" s="4">
        <f>'[1]Jurnal Komparatif'!J61+'[1]Jurnal Komparatif'!J62+'[1]Jurnal Komparatif'!J63</f>
        <v>24562287</v>
      </c>
      <c r="M20" s="4">
        <f>'[1]Jurnal Komparatif'!K61+'[1]Jurnal Komparatif'!K62+'[1]Jurnal Komparatif'!K63</f>
        <v>12082791</v>
      </c>
      <c r="N20" s="4">
        <f>'[1]Jurnal Komparatif'!L61+'[1]Jurnal Komparatif'!L62+'[1]Jurnal Komparatif'!L63</f>
        <v>17692166</v>
      </c>
      <c r="O20" s="4">
        <f>'[1]Jurnal Komparatif'!M61+'[1]Jurnal Komparatif'!M62+'[1]Jurnal Komparatif'!M63</f>
        <v>20986371</v>
      </c>
      <c r="P20" s="4">
        <f>'[1]Jurnal Komparatif'!N61+'[1]Jurnal Komparatif'!N62+'[1]Jurnal Komparatif'!N63</f>
        <v>23215104</v>
      </c>
      <c r="Q20" s="4">
        <f t="shared" si="1"/>
        <v>303199840</v>
      </c>
    </row>
    <row r="21" spans="1:17" x14ac:dyDescent="0.25">
      <c r="A21" t="s">
        <v>31</v>
      </c>
      <c r="B21" s="4">
        <f>'[1]Jurnal Komparatif'!C60</f>
        <v>2544700</v>
      </c>
      <c r="C21" s="4">
        <f>'[1]Jurnal Komparatif'!D60</f>
        <v>2840185</v>
      </c>
      <c r="D21" s="4">
        <f>'[1]Jurnal Komparatif'!E60</f>
        <v>1540817</v>
      </c>
      <c r="E21" s="4">
        <f>'[1]Jurnal Komparatif'!F60</f>
        <v>621600</v>
      </c>
      <c r="F21" s="4">
        <f>'[1]Jurnal Komparatif'!G60</f>
        <v>1537693</v>
      </c>
      <c r="G21" s="4">
        <f>'[1]Jurnal Komparatif'!H60</f>
        <v>627793</v>
      </c>
      <c r="H21" s="4">
        <f t="shared" si="0"/>
        <v>9712788</v>
      </c>
      <c r="I21" s="4"/>
      <c r="J21" t="s">
        <v>31</v>
      </c>
      <c r="K21" s="4">
        <f>'[1]Jurnal Komparatif'!I60</f>
        <v>457620</v>
      </c>
      <c r="L21" s="4">
        <f>'[1]Jurnal Komparatif'!J60</f>
        <v>301720</v>
      </c>
      <c r="M21" s="4">
        <f>'[1]Jurnal Komparatif'!K60</f>
        <v>384000</v>
      </c>
      <c r="N21" s="4">
        <f>'[1]Jurnal Komparatif'!L60</f>
        <v>904000</v>
      </c>
      <c r="O21" s="4">
        <f>'[1]Jurnal Komparatif'!M60</f>
        <v>915241</v>
      </c>
      <c r="P21" s="4">
        <f>'[1]Jurnal Komparatif'!N60</f>
        <v>745260</v>
      </c>
      <c r="Q21" s="4">
        <f t="shared" si="1"/>
        <v>13420629</v>
      </c>
    </row>
    <row r="22" spans="1:17" x14ac:dyDescent="0.25">
      <c r="A22" t="s">
        <v>32</v>
      </c>
      <c r="B22" s="4">
        <f>'[1]Jurnal Komparatif'!C69</f>
        <v>7081466</v>
      </c>
      <c r="C22" s="4">
        <f>'[1]Jurnal Komparatif'!D69</f>
        <v>1990039</v>
      </c>
      <c r="D22" s="4">
        <f>'[1]Jurnal Komparatif'!E69</f>
        <v>236425</v>
      </c>
      <c r="E22" s="4">
        <f>'[1]Jurnal Komparatif'!F69</f>
        <v>0</v>
      </c>
      <c r="F22" s="4">
        <f>'[1]Jurnal Komparatif'!G69</f>
        <v>0</v>
      </c>
      <c r="G22" s="4">
        <f>'[1]Jurnal Komparatif'!H69</f>
        <v>0</v>
      </c>
      <c r="H22" s="4">
        <f t="shared" si="0"/>
        <v>9307930</v>
      </c>
      <c r="I22" s="4"/>
      <c r="J22" t="s">
        <v>32</v>
      </c>
      <c r="K22" s="4">
        <f>'[1]Jurnal Komparatif'!I69</f>
        <v>0</v>
      </c>
      <c r="L22" s="4">
        <f>'[1]Jurnal Komparatif'!J69</f>
        <v>0</v>
      </c>
      <c r="M22" s="4">
        <f>'[1]Jurnal Komparatif'!K69</f>
        <v>0</v>
      </c>
      <c r="N22" s="4">
        <f>'[1]Jurnal Komparatif'!L69</f>
        <v>0</v>
      </c>
      <c r="O22" s="4">
        <f>'[1]Jurnal Komparatif'!M69</f>
        <v>0</v>
      </c>
      <c r="P22" s="4">
        <f>'[1]Jurnal Komparatif'!N69</f>
        <v>0</v>
      </c>
      <c r="Q22" s="4">
        <f t="shared" si="1"/>
        <v>9307930</v>
      </c>
    </row>
    <row r="23" spans="1:17" x14ac:dyDescent="0.25">
      <c r="A23" t="s">
        <v>33</v>
      </c>
      <c r="B23" s="4">
        <f>'[1]Jurnal Komparatif'!C32</f>
        <v>0</v>
      </c>
      <c r="C23" s="4">
        <f>'[1]Jurnal Komparatif'!D32</f>
        <v>0</v>
      </c>
      <c r="D23" s="4">
        <f>'[1]Jurnal Komparatif'!E32</f>
        <v>0</v>
      </c>
      <c r="E23" s="4">
        <f>'[1]Jurnal Komparatif'!F32</f>
        <v>0</v>
      </c>
      <c r="F23" s="4">
        <f>'[1]Jurnal Komparatif'!G32</f>
        <v>0</v>
      </c>
      <c r="G23" s="4">
        <f>'[1]Jurnal Komparatif'!H32</f>
        <v>0</v>
      </c>
      <c r="H23" s="4">
        <f t="shared" si="0"/>
        <v>0</v>
      </c>
      <c r="I23" s="4"/>
      <c r="J23" t="s">
        <v>33</v>
      </c>
      <c r="K23" s="4">
        <f>'[1]Jurnal Komparatif'!I32</f>
        <v>0</v>
      </c>
      <c r="L23" s="4">
        <f>'[1]Jurnal Komparatif'!J32</f>
        <v>0</v>
      </c>
      <c r="M23" s="4">
        <f>'[1]Jurnal Komparatif'!K32</f>
        <v>89236394</v>
      </c>
      <c r="N23" s="4">
        <f>'[1]Jurnal Komparatif'!L32</f>
        <v>0</v>
      </c>
      <c r="O23" s="4">
        <f>'[1]Jurnal Komparatif'!M32</f>
        <v>0</v>
      </c>
      <c r="P23" s="4">
        <f>'[1]Jurnal Komparatif'!N32</f>
        <v>0</v>
      </c>
      <c r="Q23" s="4">
        <f t="shared" si="1"/>
        <v>89236394</v>
      </c>
    </row>
    <row r="24" spans="1:17" x14ac:dyDescent="0.25">
      <c r="A24" t="s">
        <v>34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4">
        <f t="shared" si="0"/>
        <v>0</v>
      </c>
      <c r="I24" s="8"/>
      <c r="J24" t="s">
        <v>34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9">
        <f>[1]Neraca!C8</f>
        <v>129847</v>
      </c>
      <c r="Q24" s="4">
        <f t="shared" si="1"/>
        <v>129847</v>
      </c>
    </row>
    <row r="25" spans="1:17" s="2" customFormat="1" ht="15.75" thickBot="1" x14ac:dyDescent="0.3">
      <c r="A25" s="2" t="s">
        <v>35</v>
      </c>
      <c r="B25" s="6">
        <f t="shared" ref="B25:H25" si="5">SUM(B14:B24)</f>
        <v>243200722</v>
      </c>
      <c r="C25" s="6">
        <f t="shared" si="5"/>
        <v>242361030</v>
      </c>
      <c r="D25" s="6">
        <f t="shared" si="5"/>
        <v>176701200</v>
      </c>
      <c r="E25" s="6">
        <f t="shared" si="5"/>
        <v>131470594</v>
      </c>
      <c r="F25" s="6">
        <f t="shared" si="5"/>
        <v>241382704</v>
      </c>
      <c r="G25" s="6">
        <f t="shared" si="5"/>
        <v>239969790</v>
      </c>
      <c r="H25" s="6">
        <f t="shared" si="5"/>
        <v>1275086040</v>
      </c>
      <c r="I25" s="7"/>
      <c r="J25" s="2" t="s">
        <v>35</v>
      </c>
      <c r="K25" s="6">
        <f t="shared" ref="K25:Q25" si="6">SUM(K14:K24)</f>
        <v>200685648</v>
      </c>
      <c r="L25" s="6">
        <f t="shared" si="6"/>
        <v>156337977</v>
      </c>
      <c r="M25" s="6">
        <f t="shared" si="6"/>
        <v>223722636</v>
      </c>
      <c r="N25" s="6">
        <f t="shared" si="6"/>
        <v>194153552</v>
      </c>
      <c r="O25" s="6">
        <f t="shared" si="6"/>
        <v>205199961</v>
      </c>
      <c r="P25" s="6">
        <f t="shared" si="6"/>
        <v>253049094</v>
      </c>
      <c r="Q25" s="6">
        <f t="shared" si="6"/>
        <v>2508234908</v>
      </c>
    </row>
    <row r="26" spans="1:17" ht="15.75" thickTop="1" x14ac:dyDescent="0.25">
      <c r="H26" s="4">
        <f t="shared" si="0"/>
        <v>0</v>
      </c>
      <c r="Q26" s="4">
        <f t="shared" si="1"/>
        <v>0</v>
      </c>
    </row>
    <row r="27" spans="1:17" s="2" customFormat="1" ht="15.75" thickBot="1" x14ac:dyDescent="0.3">
      <c r="A27" s="2" t="s">
        <v>36</v>
      </c>
      <c r="B27" s="6">
        <f t="shared" ref="B27:H27" si="7">B12-B25</f>
        <v>255867686</v>
      </c>
      <c r="C27" s="6">
        <f t="shared" si="7"/>
        <v>187072658</v>
      </c>
      <c r="D27" s="6">
        <f t="shared" si="7"/>
        <v>78437459</v>
      </c>
      <c r="E27" s="6">
        <f t="shared" si="7"/>
        <v>-10951176</v>
      </c>
      <c r="F27" s="6">
        <f t="shared" si="7"/>
        <v>377080553</v>
      </c>
      <c r="G27" s="6">
        <f t="shared" si="7"/>
        <v>185401082</v>
      </c>
      <c r="H27" s="6">
        <f t="shared" si="7"/>
        <v>1072908262</v>
      </c>
      <c r="I27" s="7"/>
      <c r="J27" s="2" t="s">
        <v>36</v>
      </c>
      <c r="K27" s="6">
        <f t="shared" ref="K27:Q27" si="8">K12-K25</f>
        <v>68087256</v>
      </c>
      <c r="L27" s="6">
        <f t="shared" si="8"/>
        <v>55086141</v>
      </c>
      <c r="M27" s="6">
        <f t="shared" si="8"/>
        <v>-31235681</v>
      </c>
      <c r="N27" s="6">
        <f t="shared" si="8"/>
        <v>92384679</v>
      </c>
      <c r="O27" s="6">
        <f t="shared" si="8"/>
        <v>163040741</v>
      </c>
      <c r="P27" s="6">
        <f t="shared" si="8"/>
        <v>353979474</v>
      </c>
      <c r="Q27" s="6">
        <f t="shared" si="8"/>
        <v>1774250872</v>
      </c>
    </row>
    <row r="28" spans="1:17" ht="15.75" thickTop="1" x14ac:dyDescent="0.25">
      <c r="Q28" s="4">
        <f>Q27-[1]LR!C28</f>
        <v>0</v>
      </c>
    </row>
    <row r="31" spans="1:17" x14ac:dyDescent="0.25">
      <c r="A31" s="10" t="s">
        <v>37</v>
      </c>
      <c r="B31" s="10"/>
      <c r="C31" s="10"/>
      <c r="D31" s="10"/>
      <c r="E31" s="10"/>
      <c r="F31" s="10"/>
      <c r="G31" s="10"/>
      <c r="H31" s="10"/>
      <c r="I31" s="10"/>
      <c r="J31" s="10" t="s">
        <v>37</v>
      </c>
      <c r="K31" s="10"/>
      <c r="L31" s="10"/>
      <c r="M31" s="10"/>
      <c r="N31" s="10"/>
      <c r="O31" s="10"/>
      <c r="P31" s="10"/>
      <c r="Q31" s="10"/>
    </row>
    <row r="32" spans="1:17" x14ac:dyDescent="0.25">
      <c r="A32" t="s">
        <v>38</v>
      </c>
      <c r="B32" s="4">
        <f>SUM('[1]Jurnal Komparatif'!C44:C47)</f>
        <v>79368455</v>
      </c>
      <c r="C32" s="4">
        <f>SUM('[1]Jurnal Komparatif'!D44:D47)</f>
        <v>73870324</v>
      </c>
      <c r="D32" s="4">
        <f>SUM('[1]Jurnal Komparatif'!E44:E47)</f>
        <v>67205220</v>
      </c>
      <c r="E32" s="4">
        <f>SUM('[1]Jurnal Komparatif'!F44:F47)</f>
        <v>5105453</v>
      </c>
      <c r="F32" s="4">
        <f>SUM('[1]Jurnal Komparatif'!G44:G47)</f>
        <v>17270116</v>
      </c>
      <c r="G32" s="4">
        <f>SUM('[1]Jurnal Komparatif'!H44:H47)</f>
        <v>11573578</v>
      </c>
      <c r="H32" s="4"/>
      <c r="I32" s="4"/>
      <c r="J32" t="s">
        <v>38</v>
      </c>
      <c r="K32" s="4">
        <f>SUM('[1]Jurnal Komparatif'!I44:I47)</f>
        <v>3495000</v>
      </c>
      <c r="L32" s="4">
        <f>SUM('[1]Jurnal Komparatif'!J44:J47)</f>
        <v>4176000</v>
      </c>
      <c r="M32" s="4">
        <f>SUM('[1]Jurnal Komparatif'!K44:K47)</f>
        <v>5250000</v>
      </c>
      <c r="N32" s="4">
        <f>SUM('[1]Jurnal Komparatif'!L44:L47)</f>
        <v>11286000</v>
      </c>
      <c r="O32" s="4">
        <f>SUM('[1]Jurnal Komparatif'!M44:M47)</f>
        <v>9058849</v>
      </c>
      <c r="P32" s="4">
        <f>SUM('[1]Jurnal Komparatif'!N44:N47)</f>
        <v>7875228</v>
      </c>
      <c r="Q32" s="4"/>
    </row>
    <row r="33" spans="1:17" x14ac:dyDescent="0.25">
      <c r="A33" t="s">
        <v>39</v>
      </c>
      <c r="B33" s="4">
        <f>'[1]Jurnal Komparatif'!C41</f>
        <v>0</v>
      </c>
      <c r="C33" s="4">
        <f>'[1]Jurnal Komparatif'!D41</f>
        <v>0</v>
      </c>
      <c r="D33" s="4">
        <f>'[1]Jurnal Komparatif'!E41</f>
        <v>0</v>
      </c>
      <c r="E33" s="4">
        <f>'[1]Jurnal Komparatif'!F41</f>
        <v>0</v>
      </c>
      <c r="F33" s="4">
        <f>'[1]Jurnal Komparatif'!G41</f>
        <v>0</v>
      </c>
      <c r="G33" s="4">
        <f>'[1]Jurnal Komparatif'!H41</f>
        <v>0</v>
      </c>
      <c r="H33" s="4"/>
      <c r="I33" s="4"/>
      <c r="J33" t="s">
        <v>39</v>
      </c>
      <c r="K33" s="4">
        <f>'[1]Jurnal Komparatif'!I41</f>
        <v>0</v>
      </c>
      <c r="L33" s="4">
        <f>'[1]Jurnal Komparatif'!J41</f>
        <v>1000000</v>
      </c>
      <c r="M33" s="4">
        <f>'[1]Jurnal Komparatif'!K41</f>
        <v>0</v>
      </c>
      <c r="N33" s="4">
        <f>'[1]Jurnal Komparatif'!L41</f>
        <v>0</v>
      </c>
      <c r="O33" s="4">
        <f>'[1]Jurnal Komparatif'!M41</f>
        <v>0</v>
      </c>
      <c r="P33" s="4">
        <f>'[1]Jurnal Komparatif'!N41</f>
        <v>0</v>
      </c>
      <c r="Q33" s="4"/>
    </row>
    <row r="34" spans="1:17" x14ac:dyDescent="0.25">
      <c r="A34" t="s">
        <v>40</v>
      </c>
      <c r="B34" s="4">
        <f>'[1]Jurnal Komparatif'!C42</f>
        <v>0</v>
      </c>
      <c r="C34" s="4">
        <f>'[1]Jurnal Komparatif'!D42</f>
        <v>0</v>
      </c>
      <c r="D34" s="4">
        <f>'[1]Jurnal Komparatif'!E42</f>
        <v>0</v>
      </c>
      <c r="E34" s="4">
        <f>'[1]Jurnal Komparatif'!F42</f>
        <v>45442875</v>
      </c>
      <c r="F34" s="4">
        <f>'[1]Jurnal Komparatif'!G42</f>
        <v>42210415</v>
      </c>
      <c r="G34" s="4">
        <f>'[1]Jurnal Komparatif'!H42</f>
        <v>57920925</v>
      </c>
      <c r="H34" s="4"/>
      <c r="I34" s="4"/>
      <c r="J34" t="s">
        <v>40</v>
      </c>
      <c r="K34" s="4">
        <f>'[1]Jurnal Komparatif'!I42</f>
        <v>64946401</v>
      </c>
      <c r="L34" s="4">
        <f>'[1]Jurnal Komparatif'!J42</f>
        <v>47322730</v>
      </c>
      <c r="M34" s="4">
        <f>'[1]Jurnal Komparatif'!K42</f>
        <v>46448649</v>
      </c>
      <c r="N34" s="4">
        <f>'[1]Jurnal Komparatif'!L42</f>
        <v>52977130</v>
      </c>
      <c r="O34" s="4">
        <f>'[1]Jurnal Komparatif'!M42</f>
        <v>50461899</v>
      </c>
      <c r="P34" s="4">
        <f>'[1]Jurnal Komparatif'!N42</f>
        <v>56514529</v>
      </c>
      <c r="Q34" s="4"/>
    </row>
    <row r="35" spans="1:17" x14ac:dyDescent="0.25">
      <c r="A35" t="s">
        <v>41</v>
      </c>
      <c r="B35" s="4">
        <f>'[1]Jurnal Komparatif'!C43</f>
        <v>0</v>
      </c>
      <c r="C35" s="4">
        <f>'[1]Jurnal Komparatif'!D43</f>
        <v>0</v>
      </c>
      <c r="D35" s="4">
        <f>'[1]Jurnal Komparatif'!E43</f>
        <v>3760000</v>
      </c>
      <c r="E35" s="4">
        <f>'[1]Jurnal Komparatif'!F43</f>
        <v>1500000</v>
      </c>
      <c r="F35" s="4">
        <f>'[1]Jurnal Komparatif'!G43</f>
        <v>3300000</v>
      </c>
      <c r="G35" s="4">
        <f>'[1]Jurnal Komparatif'!H43</f>
        <v>3700000</v>
      </c>
      <c r="H35" s="4"/>
      <c r="I35" s="4"/>
      <c r="J35" t="s">
        <v>41</v>
      </c>
      <c r="K35" s="4">
        <f>'[1]Jurnal Komparatif'!I43</f>
        <v>3000000</v>
      </c>
      <c r="L35" s="4">
        <f>'[1]Jurnal Komparatif'!J43</f>
        <v>3500000</v>
      </c>
      <c r="M35" s="4">
        <f>'[1]Jurnal Komparatif'!K43</f>
        <v>1800000</v>
      </c>
      <c r="N35" s="4">
        <f>'[1]Jurnal Komparatif'!L43</f>
        <v>3500000</v>
      </c>
      <c r="O35" s="4">
        <f>'[1]Jurnal Komparatif'!M43</f>
        <v>2300000</v>
      </c>
      <c r="P35" s="4">
        <f>'[1]Jurnal Komparatif'!N43</f>
        <v>3140000</v>
      </c>
      <c r="Q35" s="4"/>
    </row>
    <row r="36" spans="1:17" x14ac:dyDescent="0.25">
      <c r="A36" t="s">
        <v>42</v>
      </c>
      <c r="B36" s="4">
        <v>2500000</v>
      </c>
      <c r="C36" s="4">
        <v>2500000</v>
      </c>
      <c r="D36" s="4">
        <v>2500000</v>
      </c>
      <c r="E36" s="4">
        <v>2500000</v>
      </c>
      <c r="F36" s="4">
        <v>2500000</v>
      </c>
      <c r="G36" s="4">
        <v>2500000</v>
      </c>
      <c r="H36" s="4"/>
      <c r="I36" s="4"/>
      <c r="J36" t="s">
        <v>42</v>
      </c>
      <c r="K36" s="4">
        <v>2500000</v>
      </c>
      <c r="L36" s="4">
        <v>2500000</v>
      </c>
      <c r="M36" s="4">
        <v>2500000</v>
      </c>
      <c r="N36" s="4">
        <v>2500000</v>
      </c>
      <c r="O36" s="4">
        <v>2500000</v>
      </c>
      <c r="P36" s="4">
        <v>2500000</v>
      </c>
      <c r="Q36" s="4"/>
    </row>
    <row r="37" spans="1:17" x14ac:dyDescent="0.25">
      <c r="A37" t="s">
        <v>43</v>
      </c>
      <c r="B37" s="4">
        <f>'[1]Jurnal Komparatif'!C27</f>
        <v>2700000</v>
      </c>
      <c r="C37" s="4">
        <f>'[1]Jurnal Komparatif'!D27</f>
        <v>2700000</v>
      </c>
      <c r="D37" s="4">
        <f>'[1]Jurnal Komparatif'!E27</f>
        <v>2625000</v>
      </c>
      <c r="E37" s="4">
        <f>'[1]Jurnal Komparatif'!F27</f>
        <v>3000000</v>
      </c>
      <c r="F37" s="4">
        <f>'[1]Jurnal Komparatif'!G27</f>
        <v>2900000</v>
      </c>
      <c r="G37" s="4">
        <f>'[1]Jurnal Komparatif'!H27</f>
        <v>2800000</v>
      </c>
      <c r="H37" s="4"/>
      <c r="I37" s="4"/>
      <c r="J37" t="s">
        <v>43</v>
      </c>
      <c r="K37" s="4">
        <f>'[1]Jurnal Komparatif'!I27</f>
        <v>2400000</v>
      </c>
      <c r="L37" s="4">
        <f>'[1]Jurnal Komparatif'!J27</f>
        <v>2500000</v>
      </c>
      <c r="M37" s="4">
        <f>'[1]Jurnal Komparatif'!K27</f>
        <v>3000000</v>
      </c>
      <c r="N37" s="4">
        <f>'[1]Jurnal Komparatif'!L27</f>
        <v>3000000</v>
      </c>
      <c r="O37" s="4">
        <f>'[1]Jurnal Komparatif'!M27</f>
        <v>2900000</v>
      </c>
      <c r="P37" s="4">
        <f>'[1]Jurnal Komparatif'!N27</f>
        <v>2900000</v>
      </c>
      <c r="Q37" s="4"/>
    </row>
    <row r="38" spans="1:17" x14ac:dyDescent="0.25">
      <c r="A38" t="s">
        <v>44</v>
      </c>
      <c r="B38" s="11">
        <v>2500000</v>
      </c>
      <c r="C38" s="11">
        <v>2500000</v>
      </c>
      <c r="D38" s="11">
        <v>2500000</v>
      </c>
      <c r="E38" s="11">
        <v>2500000</v>
      </c>
      <c r="F38" s="11">
        <v>2500000</v>
      </c>
      <c r="G38" s="11">
        <v>2500000</v>
      </c>
      <c r="H38" s="11"/>
      <c r="I38" s="11"/>
      <c r="J38" t="s">
        <v>44</v>
      </c>
      <c r="K38" s="11">
        <v>2500000</v>
      </c>
      <c r="L38" s="11">
        <v>2500000</v>
      </c>
      <c r="M38" s="11">
        <v>2500000</v>
      </c>
      <c r="N38" s="11">
        <v>2500000</v>
      </c>
      <c r="O38" s="11">
        <v>2500000</v>
      </c>
      <c r="P38" s="11">
        <v>2500000</v>
      </c>
      <c r="Q38" s="11"/>
    </row>
    <row r="39" spans="1:17" x14ac:dyDescent="0.25">
      <c r="A39" t="s">
        <v>45</v>
      </c>
      <c r="B39" s="11">
        <f>([1]Jurnal!$B$50+[1]Jurnal!$B$52)/12</f>
        <v>2751183</v>
      </c>
      <c r="C39" s="11">
        <f>([1]Jurnal!$B$50+[1]Jurnal!$B$52)/12</f>
        <v>2751183</v>
      </c>
      <c r="D39" s="11">
        <f>([1]Jurnal!$B$50+[1]Jurnal!$B$52)/12</f>
        <v>2751183</v>
      </c>
      <c r="E39" s="11">
        <f>([1]Jurnal!$B$50+[1]Jurnal!$B$52)/12</f>
        <v>2751183</v>
      </c>
      <c r="F39" s="11">
        <f>([1]Jurnal!$B$50+[1]Jurnal!$B$52)/12</f>
        <v>2751183</v>
      </c>
      <c r="G39" s="11">
        <f>([1]Jurnal!$B$50+[1]Jurnal!$B$52)/12</f>
        <v>2751183</v>
      </c>
      <c r="H39" s="11"/>
      <c r="I39" s="11"/>
      <c r="J39" t="s">
        <v>45</v>
      </c>
      <c r="K39" s="11">
        <f>([1]Jurnal!$B$50+[1]Jurnal!$B$52)/12</f>
        <v>2751183</v>
      </c>
      <c r="L39" s="11">
        <f>([1]Jurnal!$B$50+[1]Jurnal!$B$52)/12</f>
        <v>2751183</v>
      </c>
      <c r="M39" s="11">
        <f>([1]Jurnal!$B$50+[1]Jurnal!$B$52)/12</f>
        <v>2751183</v>
      </c>
      <c r="N39" s="11">
        <f>([1]Jurnal!$B$50+[1]Jurnal!$B$52)/12</f>
        <v>2751183</v>
      </c>
      <c r="O39" s="11">
        <f>([1]Jurnal!$B$50+[1]Jurnal!$B$52)/12</f>
        <v>2751183</v>
      </c>
      <c r="P39" s="11">
        <f>([1]Jurnal!$B$50+[1]Jurnal!$B$52)/12</f>
        <v>2751183</v>
      </c>
      <c r="Q39" s="11"/>
    </row>
    <row r="40" spans="1:17" x14ac:dyDescent="0.25">
      <c r="A40" t="s">
        <v>46</v>
      </c>
      <c r="B40" s="4">
        <f>'[1]Jurnal Komparatif'!C30</f>
        <v>2500000</v>
      </c>
      <c r="C40" s="4">
        <f>'[1]Jurnal Komparatif'!D30</f>
        <v>2500000</v>
      </c>
      <c r="D40" s="4">
        <f>'[1]Jurnal Komparatif'!E30</f>
        <v>2500000</v>
      </c>
      <c r="E40" s="4">
        <f>'[1]Jurnal Komparatif'!F30</f>
        <v>2500000</v>
      </c>
      <c r="F40" s="4">
        <f>'[1]Jurnal Komparatif'!G30</f>
        <v>2500000</v>
      </c>
      <c r="G40" s="4">
        <f>'[1]Jurnal Komparatif'!H30</f>
        <v>2500000</v>
      </c>
      <c r="H40" s="4"/>
      <c r="I40" s="4"/>
      <c r="J40" t="s">
        <v>46</v>
      </c>
      <c r="K40" s="4">
        <f>'[1]Jurnal Komparatif'!I30</f>
        <v>2500000</v>
      </c>
      <c r="L40" s="4">
        <f>'[1]Jurnal Komparatif'!J30</f>
        <v>2500000</v>
      </c>
      <c r="M40" s="4">
        <f>'[1]Jurnal Komparatif'!K30</f>
        <v>2500000</v>
      </c>
      <c r="N40" s="4">
        <f>'[1]Jurnal Komparatif'!L30</f>
        <v>2500000</v>
      </c>
      <c r="O40" s="4">
        <f>'[1]Jurnal Komparatif'!M30</f>
        <v>2500000</v>
      </c>
      <c r="P40" s="4">
        <f>'[1]Jurnal Komparatif'!N30</f>
        <v>2500000</v>
      </c>
      <c r="Q40" s="4"/>
    </row>
    <row r="41" spans="1:17" x14ac:dyDescent="0.25">
      <c r="A41" t="s">
        <v>47</v>
      </c>
      <c r="B41" s="4">
        <f>SUM(B32:B40)</f>
        <v>92319638</v>
      </c>
      <c r="C41" s="4">
        <f t="shared" ref="C41:P41" si="9">SUM(C32:C40)</f>
        <v>86821507</v>
      </c>
      <c r="D41" s="4">
        <f t="shared" si="9"/>
        <v>83841403</v>
      </c>
      <c r="E41" s="4">
        <f t="shared" si="9"/>
        <v>65299511</v>
      </c>
      <c r="F41" s="4">
        <f t="shared" si="9"/>
        <v>75931714</v>
      </c>
      <c r="G41" s="4">
        <f t="shared" si="9"/>
        <v>86245686</v>
      </c>
      <c r="H41" s="4"/>
      <c r="I41" s="4"/>
      <c r="J41" t="s">
        <v>47</v>
      </c>
      <c r="K41" s="4">
        <f t="shared" si="9"/>
        <v>84092584</v>
      </c>
      <c r="L41" s="4">
        <f t="shared" si="9"/>
        <v>68749913</v>
      </c>
      <c r="M41" s="4">
        <f t="shared" si="9"/>
        <v>66749832</v>
      </c>
      <c r="N41" s="4">
        <f t="shared" si="9"/>
        <v>81014313</v>
      </c>
      <c r="O41" s="4">
        <f t="shared" si="9"/>
        <v>74971931</v>
      </c>
      <c r="P41" s="4">
        <f t="shared" si="9"/>
        <v>80680940</v>
      </c>
      <c r="Q41" s="4"/>
    </row>
    <row r="43" spans="1:17" x14ac:dyDescent="0.25">
      <c r="A43" s="12" t="s">
        <v>48</v>
      </c>
    </row>
    <row r="44" spans="1:17" x14ac:dyDescent="0.25">
      <c r="A44" s="12" t="s">
        <v>49</v>
      </c>
    </row>
    <row r="45" spans="1:17" x14ac:dyDescent="0.25">
      <c r="A45" s="12" t="s">
        <v>50</v>
      </c>
    </row>
    <row r="46" spans="1:17" x14ac:dyDescent="0.25">
      <c r="A46" s="12" t="s">
        <v>51</v>
      </c>
    </row>
    <row r="47" spans="1:17" x14ac:dyDescent="0.25">
      <c r="A47" s="12" t="s">
        <v>52</v>
      </c>
    </row>
    <row r="48" spans="1:17" x14ac:dyDescent="0.25">
      <c r="A48" s="12" t="s">
        <v>53</v>
      </c>
    </row>
    <row r="49" spans="1:1" x14ac:dyDescent="0.25">
      <c r="A49" s="12" t="s">
        <v>54</v>
      </c>
    </row>
    <row r="50" spans="1:1" x14ac:dyDescent="0.25">
      <c r="A50" s="12" t="s">
        <v>55</v>
      </c>
    </row>
  </sheetData>
  <printOptions horizontalCentered="1"/>
  <pageMargins left="0.70866141732283472" right="0.31496062992125984" top="0.94488188976377963" bottom="0.74803149606299213" header="0.31496062992125984" footer="0.31496062992125984"/>
  <pageSetup paperSize="9" scale="108" orientation="landscape" horizontalDpi="4294967293" verticalDpi="0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D1" zoomScale="106" zoomScaleNormal="106" workbookViewId="0">
      <selection activeCell="L16" sqref="L16"/>
    </sheetView>
  </sheetViews>
  <sheetFormatPr defaultRowHeight="15" x14ac:dyDescent="0.25"/>
  <cols>
    <col min="1" max="1" width="28.42578125" customWidth="1"/>
    <col min="2" max="2" width="13.140625" bestFit="1" customWidth="1"/>
    <col min="3" max="3" width="14.85546875" bestFit="1" customWidth="1"/>
    <col min="4" max="4" width="15.28515625" customWidth="1"/>
    <col min="5" max="7" width="13.140625" bestFit="1" customWidth="1"/>
    <col min="8" max="8" width="14.85546875" bestFit="1" customWidth="1"/>
    <col min="9" max="9" width="4" customWidth="1"/>
    <col min="10" max="10" width="25.5703125" customWidth="1"/>
    <col min="11" max="16" width="13.140625" bestFit="1" customWidth="1"/>
    <col min="17" max="17" width="14.85546875" bestFit="1" customWidth="1"/>
  </cols>
  <sheetData>
    <row r="1" spans="1:17" ht="18.75" x14ac:dyDescent="0.3">
      <c r="A1" s="1" t="s">
        <v>113</v>
      </c>
      <c r="J1" s="1" t="s">
        <v>113</v>
      </c>
    </row>
    <row r="3" spans="1:17" s="2" customFormat="1" x14ac:dyDescent="0.25">
      <c r="B3" s="22" t="s">
        <v>1</v>
      </c>
      <c r="C3" s="22" t="s">
        <v>2</v>
      </c>
      <c r="D3" s="22" t="s">
        <v>3</v>
      </c>
      <c r="E3" s="22" t="s">
        <v>4</v>
      </c>
      <c r="F3" s="22" t="s">
        <v>5</v>
      </c>
      <c r="G3" s="22" t="s">
        <v>6</v>
      </c>
      <c r="H3" s="22" t="s">
        <v>7</v>
      </c>
      <c r="I3" s="22"/>
      <c r="K3" s="22" t="s">
        <v>8</v>
      </c>
      <c r="L3" s="22" t="s">
        <v>9</v>
      </c>
      <c r="M3" s="22" t="s">
        <v>10</v>
      </c>
      <c r="N3" s="22" t="s">
        <v>11</v>
      </c>
      <c r="O3" s="22" t="s">
        <v>12</v>
      </c>
      <c r="P3" s="22" t="s">
        <v>13</v>
      </c>
      <c r="Q3" s="22" t="s">
        <v>14</v>
      </c>
    </row>
    <row r="4" spans="1:17" x14ac:dyDescent="0.25">
      <c r="A4" t="s">
        <v>15</v>
      </c>
      <c r="B4" s="4">
        <v>417498000</v>
      </c>
      <c r="C4" s="4">
        <v>341648000</v>
      </c>
      <c r="D4" s="4">
        <v>167081000</v>
      </c>
      <c r="E4" s="4">
        <v>240713640</v>
      </c>
      <c r="F4" s="4">
        <v>666018000</v>
      </c>
      <c r="G4" s="4"/>
      <c r="H4" s="4">
        <f>SUM(B4:G4)</f>
        <v>1832958640</v>
      </c>
      <c r="I4" s="4"/>
      <c r="J4" t="s">
        <v>15</v>
      </c>
      <c r="K4" s="4"/>
      <c r="L4" s="4"/>
      <c r="M4" s="4"/>
      <c r="N4" s="4"/>
      <c r="O4" s="4"/>
      <c r="P4" s="4"/>
      <c r="Q4" s="4">
        <f>SUM(K4:P4)+H4</f>
        <v>1832958640</v>
      </c>
    </row>
    <row r="5" spans="1:17" x14ac:dyDescent="0.25">
      <c r="A5" t="s">
        <v>16</v>
      </c>
      <c r="B5" s="4">
        <v>4890000</v>
      </c>
      <c r="C5" s="4">
        <v>5620000</v>
      </c>
      <c r="D5" s="4">
        <v>11415375</v>
      </c>
      <c r="E5" s="4">
        <v>37503000</v>
      </c>
      <c r="F5" s="4">
        <v>3700000</v>
      </c>
      <c r="G5" s="4"/>
      <c r="H5" s="4">
        <f t="shared" ref="H5:H27" si="0">SUM(B5:G5)</f>
        <v>63128375</v>
      </c>
      <c r="I5" s="4"/>
      <c r="J5" t="s">
        <v>16</v>
      </c>
      <c r="K5" s="4"/>
      <c r="L5" s="4"/>
      <c r="M5" s="4"/>
      <c r="N5" s="4"/>
      <c r="O5" s="4"/>
      <c r="P5" s="4"/>
      <c r="Q5" s="4">
        <f t="shared" ref="Q5:Q27" si="1">SUM(K5:P5)+H5</f>
        <v>63128375</v>
      </c>
    </row>
    <row r="6" spans="1:17" x14ac:dyDescent="0.25">
      <c r="A6" t="s">
        <v>17</v>
      </c>
      <c r="B6" s="4">
        <v>23278750</v>
      </c>
      <c r="C6" s="4">
        <v>801544</v>
      </c>
      <c r="D6" s="4">
        <v>3887863</v>
      </c>
      <c r="E6" s="4">
        <v>12570315</v>
      </c>
      <c r="F6" s="4">
        <v>47030710</v>
      </c>
      <c r="G6" s="4"/>
      <c r="H6" s="4">
        <f t="shared" si="0"/>
        <v>87569182</v>
      </c>
      <c r="I6" s="4"/>
      <c r="J6" t="s">
        <v>17</v>
      </c>
      <c r="K6" s="4"/>
      <c r="L6" s="4"/>
      <c r="M6" s="4"/>
      <c r="N6" s="4"/>
      <c r="O6" s="4"/>
      <c r="P6" s="4"/>
      <c r="Q6" s="4">
        <f t="shared" si="1"/>
        <v>87569182</v>
      </c>
    </row>
    <row r="7" spans="1:17" x14ac:dyDescent="0.25">
      <c r="A7" t="s">
        <v>18</v>
      </c>
      <c r="B7" s="4">
        <v>3626000</v>
      </c>
      <c r="C7" s="4">
        <v>5459500</v>
      </c>
      <c r="D7" s="4">
        <v>6490000</v>
      </c>
      <c r="E7" s="4">
        <v>9554000</v>
      </c>
      <c r="F7" s="4">
        <v>5213000</v>
      </c>
      <c r="G7" s="4"/>
      <c r="H7" s="4">
        <f t="shared" si="0"/>
        <v>30342500</v>
      </c>
      <c r="I7" s="4"/>
      <c r="J7" t="s">
        <v>18</v>
      </c>
      <c r="K7" s="4"/>
      <c r="L7" s="4"/>
      <c r="M7" s="4"/>
      <c r="N7" s="4"/>
      <c r="O7" s="4"/>
      <c r="P7" s="4"/>
      <c r="Q7" s="4">
        <f t="shared" si="1"/>
        <v>30342500</v>
      </c>
    </row>
    <row r="8" spans="1:17" x14ac:dyDescent="0.25">
      <c r="A8" t="s">
        <v>19</v>
      </c>
      <c r="B8" s="4">
        <v>2605774</v>
      </c>
      <c r="C8" s="4">
        <v>2330184</v>
      </c>
      <c r="D8" s="4">
        <v>1168830</v>
      </c>
      <c r="E8" s="4">
        <v>782185</v>
      </c>
      <c r="F8" s="4">
        <v>831015</v>
      </c>
      <c r="G8" s="4"/>
      <c r="H8" s="4">
        <f t="shared" si="0"/>
        <v>7717988</v>
      </c>
      <c r="I8" s="4"/>
      <c r="J8" t="s">
        <v>19</v>
      </c>
      <c r="K8" s="4"/>
      <c r="L8" s="4"/>
      <c r="M8" s="4"/>
      <c r="N8" s="4"/>
      <c r="O8" s="4"/>
      <c r="P8" s="4"/>
      <c r="Q8" s="4">
        <f t="shared" si="1"/>
        <v>7717988</v>
      </c>
    </row>
    <row r="9" spans="1:17" ht="15.75" thickBot="1" x14ac:dyDescent="0.3">
      <c r="A9" t="s">
        <v>20</v>
      </c>
      <c r="B9" s="5">
        <f t="shared" ref="B9:H9" si="2">SUM(B4:B8)</f>
        <v>451898524</v>
      </c>
      <c r="C9" s="5">
        <f t="shared" si="2"/>
        <v>355859228</v>
      </c>
      <c r="D9" s="5">
        <f t="shared" si="2"/>
        <v>190043068</v>
      </c>
      <c r="E9" s="5">
        <f t="shared" si="2"/>
        <v>301123140</v>
      </c>
      <c r="F9" s="5">
        <f t="shared" si="2"/>
        <v>722792725</v>
      </c>
      <c r="G9" s="5">
        <f t="shared" si="2"/>
        <v>0</v>
      </c>
      <c r="H9" s="5">
        <f t="shared" si="2"/>
        <v>2021716685</v>
      </c>
      <c r="I9" s="4"/>
      <c r="J9" t="s">
        <v>20</v>
      </c>
      <c r="K9" s="5">
        <f t="shared" ref="K9:Q9" si="3">SUM(K4:K8)</f>
        <v>0</v>
      </c>
      <c r="L9" s="5">
        <f t="shared" si="3"/>
        <v>0</v>
      </c>
      <c r="M9" s="5">
        <f t="shared" si="3"/>
        <v>0</v>
      </c>
      <c r="N9" s="5">
        <f t="shared" si="3"/>
        <v>0</v>
      </c>
      <c r="O9" s="5">
        <f t="shared" si="3"/>
        <v>0</v>
      </c>
      <c r="P9" s="5">
        <f t="shared" si="3"/>
        <v>0</v>
      </c>
      <c r="Q9" s="5">
        <f t="shared" si="3"/>
        <v>2021716685</v>
      </c>
    </row>
    <row r="10" spans="1:17" x14ac:dyDescent="0.25">
      <c r="A10" t="s">
        <v>21</v>
      </c>
      <c r="B10" s="4">
        <v>1280000</v>
      </c>
      <c r="C10" s="4">
        <v>1703000</v>
      </c>
      <c r="D10" s="4">
        <v>900000</v>
      </c>
      <c r="E10" s="4">
        <v>2541500</v>
      </c>
      <c r="F10" s="4"/>
      <c r="G10" s="4"/>
      <c r="H10" s="4">
        <f t="shared" si="0"/>
        <v>6424500</v>
      </c>
      <c r="I10" s="4"/>
      <c r="J10" t="s">
        <v>21</v>
      </c>
      <c r="K10" s="4"/>
      <c r="L10" s="4"/>
      <c r="M10" s="4"/>
      <c r="N10" s="4"/>
      <c r="O10" s="4"/>
      <c r="P10" s="4"/>
      <c r="Q10" s="4">
        <f t="shared" si="1"/>
        <v>6424500</v>
      </c>
    </row>
    <row r="11" spans="1:17" x14ac:dyDescent="0.25">
      <c r="A11" t="s">
        <v>22</v>
      </c>
      <c r="B11" s="4">
        <v>15274501</v>
      </c>
      <c r="C11" s="4">
        <v>5738001</v>
      </c>
      <c r="D11" s="4">
        <v>13774027</v>
      </c>
      <c r="E11" s="4">
        <v>3677623</v>
      </c>
      <c r="F11" s="4">
        <v>4803123</v>
      </c>
      <c r="G11" s="4"/>
      <c r="H11" s="4">
        <f t="shared" si="0"/>
        <v>43267275</v>
      </c>
      <c r="I11" s="4"/>
      <c r="J11" t="s">
        <v>22</v>
      </c>
      <c r="K11" s="4"/>
      <c r="L11" s="4"/>
      <c r="M11" s="4"/>
      <c r="N11" s="4"/>
      <c r="O11" s="4"/>
      <c r="P11" s="4"/>
      <c r="Q11" s="4">
        <f t="shared" si="1"/>
        <v>43267275</v>
      </c>
    </row>
    <row r="12" spans="1:17" s="2" customFormat="1" ht="15.75" thickBot="1" x14ac:dyDescent="0.3">
      <c r="A12" s="2" t="s">
        <v>23</v>
      </c>
      <c r="B12" s="6">
        <f>B9-B10-B11</f>
        <v>435344023</v>
      </c>
      <c r="C12" s="6">
        <f t="shared" ref="C12:Q12" si="4">C9-C10-C11</f>
        <v>348418227</v>
      </c>
      <c r="D12" s="6">
        <f t="shared" si="4"/>
        <v>175369041</v>
      </c>
      <c r="E12" s="6">
        <f t="shared" si="4"/>
        <v>294904017</v>
      </c>
      <c r="F12" s="6">
        <f t="shared" si="4"/>
        <v>717989602</v>
      </c>
      <c r="G12" s="6">
        <f t="shared" si="4"/>
        <v>0</v>
      </c>
      <c r="H12" s="6">
        <f t="shared" si="4"/>
        <v>1972024910</v>
      </c>
      <c r="I12" s="7"/>
      <c r="J12" s="2" t="s">
        <v>23</v>
      </c>
      <c r="K12" s="6">
        <f t="shared" si="4"/>
        <v>0</v>
      </c>
      <c r="L12" s="6">
        <f t="shared" si="4"/>
        <v>0</v>
      </c>
      <c r="M12" s="6">
        <f t="shared" si="4"/>
        <v>0</v>
      </c>
      <c r="N12" s="6">
        <f t="shared" si="4"/>
        <v>0</v>
      </c>
      <c r="O12" s="6">
        <f t="shared" si="4"/>
        <v>0</v>
      </c>
      <c r="P12" s="6">
        <f t="shared" si="4"/>
        <v>0</v>
      </c>
      <c r="Q12" s="6">
        <f t="shared" si="4"/>
        <v>1972024910</v>
      </c>
    </row>
    <row r="13" spans="1:17" ht="15.75" thickTop="1" x14ac:dyDescent="0.25">
      <c r="H13" s="4">
        <f t="shared" si="0"/>
        <v>0</v>
      </c>
      <c r="Q13" s="4">
        <f t="shared" si="1"/>
        <v>0</v>
      </c>
    </row>
    <row r="14" spans="1:17" x14ac:dyDescent="0.25">
      <c r="A14" t="s">
        <v>24</v>
      </c>
      <c r="B14" s="4">
        <f>B41</f>
        <v>84454169</v>
      </c>
      <c r="C14" s="4">
        <f>C41</f>
        <v>82353650</v>
      </c>
      <c r="D14" s="4">
        <f>D41</f>
        <v>76911421</v>
      </c>
      <c r="E14" s="4">
        <f>E41</f>
        <v>69183186</v>
      </c>
      <c r="F14" s="4">
        <f>72751983+2700000+3315888+2300000+2700000</f>
        <v>83767871</v>
      </c>
      <c r="G14" s="4"/>
      <c r="H14" s="4">
        <f t="shared" si="0"/>
        <v>396670297</v>
      </c>
      <c r="I14" s="4"/>
      <c r="J14" t="s">
        <v>24</v>
      </c>
      <c r="K14" s="4"/>
      <c r="L14" s="4"/>
      <c r="M14" s="4"/>
      <c r="N14" s="4"/>
      <c r="O14" s="4"/>
      <c r="P14" s="4"/>
      <c r="Q14" s="4">
        <f t="shared" si="1"/>
        <v>396670297</v>
      </c>
    </row>
    <row r="15" spans="1:17" x14ac:dyDescent="0.25">
      <c r="A15" t="s">
        <v>25</v>
      </c>
      <c r="B15" s="4">
        <f>5826800+300000+383000+1750000</f>
        <v>8259800</v>
      </c>
      <c r="C15" s="4">
        <f>3676463+100000+356200+1750000</f>
        <v>5882663</v>
      </c>
      <c r="D15" s="4">
        <f>3010000+300000+833150+1750000</f>
        <v>5893150</v>
      </c>
      <c r="E15" s="4">
        <v>7461500</v>
      </c>
      <c r="F15" s="4">
        <f>6246731+300000+676300+1750000</f>
        <v>8973031</v>
      </c>
      <c r="G15" s="4"/>
      <c r="H15" s="4">
        <f t="shared" si="0"/>
        <v>36470144</v>
      </c>
      <c r="I15" s="4"/>
      <c r="J15" t="s">
        <v>25</v>
      </c>
      <c r="K15" s="4"/>
      <c r="L15" s="4"/>
      <c r="M15" s="4"/>
      <c r="N15" s="4"/>
      <c r="O15" s="4"/>
      <c r="P15" s="4"/>
      <c r="Q15" s="4">
        <f t="shared" si="1"/>
        <v>36470144</v>
      </c>
    </row>
    <row r="16" spans="1:17" x14ac:dyDescent="0.25">
      <c r="A16" t="s">
        <v>26</v>
      </c>
      <c r="B16" s="4">
        <v>85252900</v>
      </c>
      <c r="C16" s="4">
        <v>68285500</v>
      </c>
      <c r="D16" s="4">
        <v>40399450</v>
      </c>
      <c r="E16" s="4">
        <v>58448375</v>
      </c>
      <c r="F16" s="4">
        <v>136170700</v>
      </c>
      <c r="G16" s="4"/>
      <c r="H16" s="4">
        <f t="shared" si="0"/>
        <v>388556925</v>
      </c>
      <c r="I16" s="4"/>
      <c r="J16" t="s">
        <v>26</v>
      </c>
      <c r="K16" s="4"/>
      <c r="L16" s="4"/>
      <c r="M16" s="4"/>
      <c r="N16" s="4"/>
      <c r="O16" s="4"/>
      <c r="P16" s="4"/>
      <c r="Q16" s="4">
        <f t="shared" si="1"/>
        <v>388556925</v>
      </c>
    </row>
    <row r="17" spans="1:17" x14ac:dyDescent="0.25">
      <c r="A17" t="s">
        <v>27</v>
      </c>
      <c r="B17" s="4">
        <v>5390550</v>
      </c>
      <c r="C17" s="4">
        <v>7306000</v>
      </c>
      <c r="D17" s="4">
        <v>5154400</v>
      </c>
      <c r="E17" s="4">
        <v>6609182</v>
      </c>
      <c r="F17" s="4">
        <v>7738125</v>
      </c>
      <c r="G17" s="4"/>
      <c r="H17" s="4">
        <f t="shared" si="0"/>
        <v>32198257</v>
      </c>
      <c r="I17" s="4"/>
      <c r="J17" t="s">
        <v>27</v>
      </c>
      <c r="K17" s="4"/>
      <c r="L17" s="4"/>
      <c r="M17" s="4"/>
      <c r="N17" s="4"/>
      <c r="O17" s="4"/>
      <c r="P17" s="4"/>
      <c r="Q17" s="4">
        <f t="shared" si="1"/>
        <v>32198257</v>
      </c>
    </row>
    <row r="18" spans="1:17" x14ac:dyDescent="0.25">
      <c r="A18" t="s">
        <v>28</v>
      </c>
      <c r="B18" s="4">
        <v>13949000</v>
      </c>
      <c r="C18" s="4">
        <v>10146200</v>
      </c>
      <c r="D18" s="4">
        <v>7520300</v>
      </c>
      <c r="E18" s="4">
        <v>6779500</v>
      </c>
      <c r="F18" s="4">
        <v>16416800</v>
      </c>
      <c r="G18" s="4"/>
      <c r="H18" s="4">
        <f t="shared" si="0"/>
        <v>54811800</v>
      </c>
      <c r="I18" s="4"/>
      <c r="J18" t="s">
        <v>28</v>
      </c>
      <c r="K18" s="4"/>
      <c r="L18" s="4"/>
      <c r="M18" s="4"/>
      <c r="N18" s="4"/>
      <c r="O18" s="4"/>
      <c r="P18" s="4"/>
      <c r="Q18" s="4">
        <f t="shared" si="1"/>
        <v>54811800</v>
      </c>
    </row>
    <row r="19" spans="1:17" x14ac:dyDescent="0.25">
      <c r="A19" t="s">
        <v>29</v>
      </c>
      <c r="B19" s="4">
        <f>1497800+2085503</f>
        <v>3583303</v>
      </c>
      <c r="C19" s="4">
        <f>1125850+2282588</f>
        <v>3408438</v>
      </c>
      <c r="D19" s="4">
        <f>1121850+2282588</f>
        <v>3404438</v>
      </c>
      <c r="E19" s="4">
        <f>1121850+2282588</f>
        <v>3404438</v>
      </c>
      <c r="F19" s="4">
        <f>1123850+2282588</f>
        <v>3406438</v>
      </c>
      <c r="G19" s="4"/>
      <c r="H19" s="4">
        <f t="shared" si="0"/>
        <v>17207055</v>
      </c>
      <c r="I19" s="4"/>
      <c r="J19" t="s">
        <v>29</v>
      </c>
      <c r="K19" s="4"/>
      <c r="L19" s="4"/>
      <c r="M19" s="4"/>
      <c r="N19" s="4"/>
      <c r="O19" s="4"/>
      <c r="P19" s="4"/>
      <c r="Q19" s="4">
        <f t="shared" si="1"/>
        <v>17207055</v>
      </c>
    </row>
    <row r="20" spans="1:17" x14ac:dyDescent="0.25">
      <c r="A20" t="s">
        <v>30</v>
      </c>
      <c r="B20" s="4">
        <f>39544610+61166+568600</f>
        <v>40174376</v>
      </c>
      <c r="C20" s="4">
        <f>29765561+64773+568600</f>
        <v>30398934</v>
      </c>
      <c r="D20" s="4">
        <f>24025822+63386+568600</f>
        <v>24657808</v>
      </c>
      <c r="E20" s="4">
        <f>22564236+63108+568600</f>
        <v>23195944</v>
      </c>
      <c r="F20" s="4">
        <f>20493439+80891+568600</f>
        <v>21142930</v>
      </c>
      <c r="G20" s="4"/>
      <c r="H20" s="4">
        <f t="shared" si="0"/>
        <v>139569992</v>
      </c>
      <c r="I20" s="4"/>
      <c r="J20" t="s">
        <v>30</v>
      </c>
      <c r="K20" s="4"/>
      <c r="L20" s="4"/>
      <c r="M20" s="4"/>
      <c r="N20" s="4"/>
      <c r="O20" s="4"/>
      <c r="P20" s="4"/>
      <c r="Q20" s="4">
        <f t="shared" si="1"/>
        <v>139569992</v>
      </c>
    </row>
    <row r="21" spans="1:17" x14ac:dyDescent="0.25">
      <c r="A21" t="s">
        <v>31</v>
      </c>
      <c r="B21" s="4">
        <v>278800</v>
      </c>
      <c r="C21" s="4">
        <v>137500</v>
      </c>
      <c r="D21" s="4">
        <v>1407800</v>
      </c>
      <c r="E21" s="4">
        <v>33250</v>
      </c>
      <c r="F21" s="4">
        <v>181140</v>
      </c>
      <c r="G21" s="4"/>
      <c r="H21" s="4">
        <f t="shared" si="0"/>
        <v>2038490</v>
      </c>
      <c r="I21" s="4"/>
      <c r="J21" t="s">
        <v>31</v>
      </c>
      <c r="K21" s="4"/>
      <c r="L21" s="4"/>
      <c r="M21" s="4"/>
      <c r="N21" s="4"/>
      <c r="O21" s="4"/>
      <c r="P21" s="4"/>
      <c r="Q21" s="4">
        <f t="shared" si="1"/>
        <v>2038490</v>
      </c>
    </row>
    <row r="22" spans="1:17" x14ac:dyDescent="0.25">
      <c r="A22" t="s">
        <v>32</v>
      </c>
      <c r="B22" s="4">
        <v>290500</v>
      </c>
      <c r="C22" s="4">
        <v>334508</v>
      </c>
      <c r="D22" s="4">
        <v>590470</v>
      </c>
      <c r="E22" s="4">
        <v>0</v>
      </c>
      <c r="F22" s="4"/>
      <c r="G22" s="4"/>
      <c r="H22" s="4">
        <f t="shared" si="0"/>
        <v>1215478</v>
      </c>
      <c r="I22" s="4"/>
      <c r="J22" t="s">
        <v>32</v>
      </c>
      <c r="K22" s="4"/>
      <c r="L22" s="4"/>
      <c r="M22" s="4"/>
      <c r="N22" s="4"/>
      <c r="O22" s="4"/>
      <c r="P22" s="4"/>
      <c r="Q22" s="4">
        <f t="shared" si="1"/>
        <v>1215478</v>
      </c>
    </row>
    <row r="23" spans="1:17" x14ac:dyDescent="0.25">
      <c r="A23" t="s">
        <v>114</v>
      </c>
      <c r="B23" s="4">
        <v>7000000</v>
      </c>
      <c r="C23" s="4">
        <v>7000000</v>
      </c>
      <c r="D23" s="4">
        <v>7000000</v>
      </c>
      <c r="E23" s="4">
        <v>7000000</v>
      </c>
      <c r="F23" s="4">
        <v>7000000</v>
      </c>
      <c r="G23" s="4"/>
      <c r="H23" s="4">
        <f t="shared" si="0"/>
        <v>35000000</v>
      </c>
      <c r="I23" s="4"/>
      <c r="J23" t="s">
        <v>33</v>
      </c>
      <c r="K23" s="4"/>
      <c r="L23" s="4"/>
      <c r="M23" s="4"/>
      <c r="N23" s="4"/>
      <c r="O23" s="4"/>
      <c r="P23" s="4"/>
      <c r="Q23" s="4">
        <f t="shared" si="1"/>
        <v>35000000</v>
      </c>
    </row>
    <row r="24" spans="1:17" x14ac:dyDescent="0.25">
      <c r="A24" t="s">
        <v>115</v>
      </c>
      <c r="B24" s="8"/>
      <c r="C24" s="9">
        <v>22137450</v>
      </c>
      <c r="D24" s="8"/>
      <c r="E24" s="8"/>
      <c r="F24" s="8"/>
      <c r="G24" s="8"/>
      <c r="H24" s="4">
        <f t="shared" si="0"/>
        <v>22137450</v>
      </c>
      <c r="I24" s="8"/>
      <c r="J24" t="s">
        <v>34</v>
      </c>
      <c r="K24" s="8"/>
      <c r="L24" s="8"/>
      <c r="M24" s="8"/>
      <c r="N24" s="8"/>
      <c r="O24" s="8"/>
      <c r="P24" s="9"/>
      <c r="Q24" s="4">
        <f t="shared" si="1"/>
        <v>22137450</v>
      </c>
    </row>
    <row r="25" spans="1:17" x14ac:dyDescent="0.25">
      <c r="A25" t="s">
        <v>116</v>
      </c>
      <c r="B25" s="8"/>
      <c r="C25" s="9"/>
      <c r="D25" s="9">
        <v>1214510</v>
      </c>
      <c r="E25" s="9">
        <v>3384776</v>
      </c>
      <c r="F25" s="9">
        <v>366144</v>
      </c>
      <c r="G25" s="8"/>
      <c r="H25" s="4"/>
      <c r="I25" s="8"/>
      <c r="K25" s="8"/>
      <c r="L25" s="8"/>
      <c r="M25" s="8"/>
      <c r="N25" s="8"/>
      <c r="O25" s="8"/>
      <c r="P25" s="9"/>
      <c r="Q25" s="4"/>
    </row>
    <row r="26" spans="1:17" s="2" customFormat="1" ht="15.75" thickBot="1" x14ac:dyDescent="0.3">
      <c r="A26" s="2" t="s">
        <v>35</v>
      </c>
      <c r="B26" s="6">
        <f t="shared" ref="B26:H26" si="5">SUM(B14:B24)</f>
        <v>248633398</v>
      </c>
      <c r="C26" s="6">
        <f t="shared" si="5"/>
        <v>237390843</v>
      </c>
      <c r="D26" s="6">
        <f>SUM(D14:D25)</f>
        <v>174153747</v>
      </c>
      <c r="E26" s="6">
        <f>SUM(E14:E25)</f>
        <v>185500151</v>
      </c>
      <c r="F26" s="6">
        <f>SUM(F14:F25)</f>
        <v>285163179</v>
      </c>
      <c r="G26" s="6">
        <f t="shared" si="5"/>
        <v>0</v>
      </c>
      <c r="H26" s="6">
        <f t="shared" si="5"/>
        <v>1125875888</v>
      </c>
      <c r="I26" s="7"/>
      <c r="J26" s="2" t="s">
        <v>35</v>
      </c>
      <c r="K26" s="6">
        <f t="shared" ref="K26:Q26" si="6">SUM(K14:K24)</f>
        <v>0</v>
      </c>
      <c r="L26" s="6">
        <f t="shared" si="6"/>
        <v>0</v>
      </c>
      <c r="M26" s="6">
        <f t="shared" si="6"/>
        <v>0</v>
      </c>
      <c r="N26" s="6">
        <f t="shared" si="6"/>
        <v>0</v>
      </c>
      <c r="O26" s="6">
        <f t="shared" si="6"/>
        <v>0</v>
      </c>
      <c r="P26" s="6">
        <f t="shared" si="6"/>
        <v>0</v>
      </c>
      <c r="Q26" s="6">
        <f t="shared" si="6"/>
        <v>1125875888</v>
      </c>
    </row>
    <row r="27" spans="1:17" ht="15.75" thickTop="1" x14ac:dyDescent="0.25">
      <c r="H27" s="4">
        <f t="shared" si="0"/>
        <v>0</v>
      </c>
      <c r="Q27" s="4">
        <f t="shared" si="1"/>
        <v>0</v>
      </c>
    </row>
    <row r="28" spans="1:17" s="2" customFormat="1" ht="15.75" thickBot="1" x14ac:dyDescent="0.3">
      <c r="A28" s="2" t="s">
        <v>36</v>
      </c>
      <c r="B28" s="6">
        <f t="shared" ref="B28:H28" si="7">B12-B26</f>
        <v>186710625</v>
      </c>
      <c r="C28" s="6">
        <f t="shared" si="7"/>
        <v>111027384</v>
      </c>
      <c r="D28" s="6">
        <f t="shared" si="7"/>
        <v>1215294</v>
      </c>
      <c r="E28" s="6">
        <f t="shared" si="7"/>
        <v>109403866</v>
      </c>
      <c r="F28" s="6">
        <f t="shared" si="7"/>
        <v>432826423</v>
      </c>
      <c r="G28" s="6">
        <f t="shared" si="7"/>
        <v>0</v>
      </c>
      <c r="H28" s="6">
        <f t="shared" si="7"/>
        <v>846149022</v>
      </c>
      <c r="I28" s="7"/>
      <c r="J28" s="2" t="s">
        <v>36</v>
      </c>
      <c r="K28" s="6">
        <f t="shared" ref="K28:Q28" si="8">K12-K26</f>
        <v>0</v>
      </c>
      <c r="L28" s="6">
        <f t="shared" si="8"/>
        <v>0</v>
      </c>
      <c r="M28" s="6">
        <f t="shared" si="8"/>
        <v>0</v>
      </c>
      <c r="N28" s="6">
        <f t="shared" si="8"/>
        <v>0</v>
      </c>
      <c r="O28" s="6">
        <f t="shared" si="8"/>
        <v>0</v>
      </c>
      <c r="P28" s="6">
        <f t="shared" si="8"/>
        <v>0</v>
      </c>
      <c r="Q28" s="6">
        <f t="shared" si="8"/>
        <v>846149022</v>
      </c>
    </row>
    <row r="29" spans="1:17" ht="15.75" thickTop="1" x14ac:dyDescent="0.25">
      <c r="Q29" s="4">
        <f>Q28-[1]LR!C28</f>
        <v>-928101850</v>
      </c>
    </row>
    <row r="30" spans="1:17" x14ac:dyDescent="0.25">
      <c r="C30" s="4"/>
    </row>
    <row r="32" spans="1:17" x14ac:dyDescent="0.25">
      <c r="A32" s="10" t="s">
        <v>37</v>
      </c>
      <c r="B32" s="10"/>
      <c r="C32" s="10"/>
      <c r="D32" s="10"/>
      <c r="E32" s="10"/>
      <c r="F32" s="10"/>
      <c r="G32" s="10"/>
      <c r="H32" s="10"/>
      <c r="I32" s="10"/>
      <c r="J32" s="10" t="s">
        <v>37</v>
      </c>
      <c r="K32" s="10"/>
      <c r="L32" s="10"/>
      <c r="M32" s="10"/>
      <c r="N32" s="10"/>
      <c r="O32" s="10"/>
      <c r="P32" s="10"/>
      <c r="Q32" s="10"/>
    </row>
    <row r="33" spans="1:17" x14ac:dyDescent="0.25">
      <c r="A33" t="s">
        <v>38</v>
      </c>
      <c r="B33" s="13">
        <f>2305000+3811157+385095</f>
        <v>6501252</v>
      </c>
      <c r="C33" s="13">
        <f>3125000+3462565</f>
        <v>6587565</v>
      </c>
      <c r="D33" s="13">
        <v>2107368</v>
      </c>
      <c r="E33" s="13">
        <f>1845000+4562820+240000</f>
        <v>6647820</v>
      </c>
      <c r="F33" s="4">
        <f>8030425+320000</f>
        <v>8350425</v>
      </c>
      <c r="G33" s="4"/>
      <c r="H33" s="4"/>
      <c r="I33" s="4"/>
      <c r="J33" t="s">
        <v>38</v>
      </c>
      <c r="K33" s="4">
        <f>SUM('[1]Jurnal Komparatif'!I44:I47)</f>
        <v>3495000</v>
      </c>
      <c r="L33" s="4">
        <f>SUM('[1]Jurnal Komparatif'!J44:J47)</f>
        <v>4176000</v>
      </c>
      <c r="M33" s="4">
        <f>SUM('[1]Jurnal Komparatif'!K44:K47)</f>
        <v>5250000</v>
      </c>
      <c r="N33" s="4">
        <f>SUM('[1]Jurnal Komparatif'!L44:L47)</f>
        <v>11286000</v>
      </c>
      <c r="O33" s="4">
        <f>SUM('[1]Jurnal Komparatif'!M44:M47)</f>
        <v>9058849</v>
      </c>
      <c r="P33" s="4">
        <f>SUM('[1]Jurnal Komparatif'!N44:N47)</f>
        <v>7875228</v>
      </c>
      <c r="Q33" s="4"/>
    </row>
    <row r="34" spans="1:17" x14ac:dyDescent="0.25">
      <c r="A34" t="s">
        <v>39</v>
      </c>
      <c r="B34" s="4">
        <f>'[1]Jurnal Komparatif'!C41</f>
        <v>0</v>
      </c>
      <c r="C34" s="4">
        <f>'[1]Jurnal Komparatif'!D41</f>
        <v>0</v>
      </c>
      <c r="D34" s="4">
        <f>'[1]Jurnal Komparatif'!E41</f>
        <v>0</v>
      </c>
      <c r="E34" s="4"/>
      <c r="F34" s="4"/>
      <c r="G34" s="4"/>
      <c r="H34" s="4"/>
      <c r="I34" s="4"/>
      <c r="J34" t="s">
        <v>39</v>
      </c>
      <c r="K34" s="4">
        <f>'[1]Jurnal Komparatif'!I41</f>
        <v>0</v>
      </c>
      <c r="L34" s="4">
        <f>'[1]Jurnal Komparatif'!J41</f>
        <v>1000000</v>
      </c>
      <c r="M34" s="4">
        <f>'[1]Jurnal Komparatif'!K41</f>
        <v>0</v>
      </c>
      <c r="N34" s="4">
        <f>'[1]Jurnal Komparatif'!L41</f>
        <v>0</v>
      </c>
      <c r="O34" s="4">
        <f>'[1]Jurnal Komparatif'!M41</f>
        <v>0</v>
      </c>
      <c r="P34" s="4">
        <f>'[1]Jurnal Komparatif'!N41</f>
        <v>0</v>
      </c>
      <c r="Q34" s="4"/>
    </row>
    <row r="35" spans="1:17" x14ac:dyDescent="0.25">
      <c r="A35" t="s">
        <v>40</v>
      </c>
      <c r="B35" s="4">
        <v>64512917</v>
      </c>
      <c r="C35" s="4">
        <v>61766085</v>
      </c>
      <c r="D35" s="4">
        <v>58963569</v>
      </c>
      <c r="E35" s="4">
        <v>48224838</v>
      </c>
      <c r="F35" s="4">
        <v>60601557</v>
      </c>
      <c r="G35" s="4"/>
      <c r="H35" s="4"/>
      <c r="I35" s="4"/>
      <c r="J35" t="s">
        <v>40</v>
      </c>
      <c r="K35" s="4">
        <f>'[1]Jurnal Komparatif'!I42</f>
        <v>64946401</v>
      </c>
      <c r="L35" s="4">
        <f>'[1]Jurnal Komparatif'!J42</f>
        <v>47322730</v>
      </c>
      <c r="M35" s="4">
        <f>'[1]Jurnal Komparatif'!K42</f>
        <v>46448649</v>
      </c>
      <c r="N35" s="4">
        <f>'[1]Jurnal Komparatif'!L42</f>
        <v>52977130</v>
      </c>
      <c r="O35" s="4">
        <f>'[1]Jurnal Komparatif'!M42</f>
        <v>50461899</v>
      </c>
      <c r="P35" s="4">
        <f>'[1]Jurnal Komparatif'!N42</f>
        <v>56514529</v>
      </c>
      <c r="Q35" s="4"/>
    </row>
    <row r="36" spans="1:17" x14ac:dyDescent="0.25">
      <c r="A36" t="s">
        <v>41</v>
      </c>
      <c r="B36" s="4">
        <v>3140000</v>
      </c>
      <c r="C36" s="4">
        <v>3800000</v>
      </c>
      <c r="D36" s="4">
        <v>4000000</v>
      </c>
      <c r="E36" s="4">
        <v>4550000</v>
      </c>
      <c r="F36" s="4">
        <v>3800000</v>
      </c>
      <c r="G36" s="4"/>
      <c r="H36" s="4"/>
      <c r="I36" s="4"/>
      <c r="J36" t="s">
        <v>41</v>
      </c>
      <c r="K36" s="4">
        <f>'[1]Jurnal Komparatif'!I43</f>
        <v>3000000</v>
      </c>
      <c r="L36" s="4">
        <f>'[1]Jurnal Komparatif'!J43</f>
        <v>3500000</v>
      </c>
      <c r="M36" s="4">
        <f>'[1]Jurnal Komparatif'!K43</f>
        <v>1800000</v>
      </c>
      <c r="N36" s="4">
        <f>'[1]Jurnal Komparatif'!L43</f>
        <v>3500000</v>
      </c>
      <c r="O36" s="4">
        <f>'[1]Jurnal Komparatif'!M43</f>
        <v>2300000</v>
      </c>
      <c r="P36" s="4">
        <f>'[1]Jurnal Komparatif'!N43</f>
        <v>3140000</v>
      </c>
      <c r="Q36" s="4"/>
    </row>
    <row r="37" spans="1:17" x14ac:dyDescent="0.25">
      <c r="A37" t="s">
        <v>42</v>
      </c>
      <c r="B37" s="4">
        <v>2300000</v>
      </c>
      <c r="C37" s="4">
        <v>2300000</v>
      </c>
      <c r="D37" s="4">
        <v>2300000</v>
      </c>
      <c r="E37" s="4">
        <v>2300000</v>
      </c>
      <c r="F37" s="4">
        <v>2300000</v>
      </c>
      <c r="G37" s="4"/>
      <c r="H37" s="4"/>
      <c r="I37" s="4"/>
      <c r="J37" t="s">
        <v>42</v>
      </c>
      <c r="K37" s="4">
        <v>2500000</v>
      </c>
      <c r="L37" s="4">
        <v>2500000</v>
      </c>
      <c r="M37" s="4">
        <v>2500000</v>
      </c>
      <c r="N37" s="4">
        <v>2500000</v>
      </c>
      <c r="O37" s="4">
        <v>2500000</v>
      </c>
      <c r="P37" s="4">
        <v>2500000</v>
      </c>
      <c r="Q37" s="4"/>
    </row>
    <row r="38" spans="1:17" x14ac:dyDescent="0.25">
      <c r="A38" t="s">
        <v>43</v>
      </c>
      <c r="B38" s="4">
        <v>2800000</v>
      </c>
      <c r="C38" s="4">
        <f>'[1]Jurnal Komparatif'!D27</f>
        <v>2700000</v>
      </c>
      <c r="D38" s="4">
        <v>2700000</v>
      </c>
      <c r="E38" s="4">
        <v>2700000</v>
      </c>
      <c r="F38" s="4">
        <v>2700000</v>
      </c>
      <c r="G38" s="4"/>
      <c r="H38" s="4"/>
      <c r="I38" s="4"/>
      <c r="J38" t="s">
        <v>43</v>
      </c>
      <c r="K38" s="4">
        <f>'[1]Jurnal Komparatif'!I27</f>
        <v>2400000</v>
      </c>
      <c r="L38" s="4">
        <f>'[1]Jurnal Komparatif'!J27</f>
        <v>2500000</v>
      </c>
      <c r="M38" s="4">
        <f>'[1]Jurnal Komparatif'!K27</f>
        <v>3000000</v>
      </c>
      <c r="N38" s="4">
        <f>'[1]Jurnal Komparatif'!L27</f>
        <v>3000000</v>
      </c>
      <c r="O38" s="4">
        <f>'[1]Jurnal Komparatif'!M27</f>
        <v>2900000</v>
      </c>
      <c r="P38" s="4">
        <f>'[1]Jurnal Komparatif'!N27</f>
        <v>2900000</v>
      </c>
      <c r="Q38" s="4"/>
    </row>
    <row r="39" spans="1:17" x14ac:dyDescent="0.25">
      <c r="A39" t="s">
        <v>44</v>
      </c>
      <c r="B39" s="11">
        <v>2500000</v>
      </c>
      <c r="C39" s="11">
        <v>2500000</v>
      </c>
      <c r="D39" s="11">
        <v>4140484</v>
      </c>
      <c r="E39" s="11">
        <v>2060528</v>
      </c>
      <c r="F39" s="11">
        <v>3315888</v>
      </c>
      <c r="G39" s="11"/>
      <c r="H39" s="11"/>
      <c r="I39" s="11"/>
      <c r="J39" t="s">
        <v>44</v>
      </c>
      <c r="K39" s="11">
        <v>2500000</v>
      </c>
      <c r="L39" s="11">
        <v>2500000</v>
      </c>
      <c r="M39" s="11">
        <v>2500000</v>
      </c>
      <c r="N39" s="11">
        <v>2500000</v>
      </c>
      <c r="O39" s="11">
        <v>2500000</v>
      </c>
      <c r="P39" s="11">
        <v>2500000</v>
      </c>
      <c r="Q39" s="11"/>
    </row>
    <row r="40" spans="1:17" x14ac:dyDescent="0.25">
      <c r="A40" t="s">
        <v>46</v>
      </c>
      <c r="B40" s="4">
        <v>2700000</v>
      </c>
      <c r="C40" s="4">
        <v>2700000</v>
      </c>
      <c r="D40" s="4">
        <v>2700000</v>
      </c>
      <c r="E40" s="4">
        <v>2700000</v>
      </c>
      <c r="F40" s="4">
        <v>2700000</v>
      </c>
      <c r="G40" s="4"/>
      <c r="H40" s="4"/>
      <c r="I40" s="4"/>
      <c r="J40" t="s">
        <v>46</v>
      </c>
      <c r="K40" s="4">
        <f>'[1]Jurnal Komparatif'!I30</f>
        <v>2500000</v>
      </c>
      <c r="L40" s="4">
        <f>'[1]Jurnal Komparatif'!J30</f>
        <v>2500000</v>
      </c>
      <c r="M40" s="4">
        <f>'[1]Jurnal Komparatif'!K30</f>
        <v>2500000</v>
      </c>
      <c r="N40" s="4">
        <f>'[1]Jurnal Komparatif'!L30</f>
        <v>2500000</v>
      </c>
      <c r="O40" s="4">
        <f>'[1]Jurnal Komparatif'!M30</f>
        <v>2500000</v>
      </c>
      <c r="P40" s="4">
        <f>'[1]Jurnal Komparatif'!N30</f>
        <v>2500000</v>
      </c>
      <c r="Q40" s="4"/>
    </row>
    <row r="41" spans="1:17" x14ac:dyDescent="0.25">
      <c r="A41" t="s">
        <v>47</v>
      </c>
      <c r="B41" s="4">
        <f>SUM(B33:B40)</f>
        <v>84454169</v>
      </c>
      <c r="C41" s="4">
        <f t="shared" ref="C41:F41" si="9">SUM(C33:C40)</f>
        <v>82353650</v>
      </c>
      <c r="D41" s="4">
        <f t="shared" ref="D41" si="10">SUM(D33:D40)</f>
        <v>76911421</v>
      </c>
      <c r="E41" s="4">
        <f t="shared" ref="E41" si="11">SUM(E33:E40)</f>
        <v>69183186</v>
      </c>
      <c r="F41" s="4">
        <f t="shared" ref="F41" si="12">SUM(F33:F40)</f>
        <v>83767870</v>
      </c>
      <c r="G41" s="4">
        <f>SUM(G33:G40)</f>
        <v>0</v>
      </c>
      <c r="H41" s="4"/>
      <c r="I41" s="4"/>
      <c r="J41" t="s">
        <v>47</v>
      </c>
      <c r="K41" s="4">
        <f t="shared" ref="K41:P41" si="13">SUM(K33:K40)</f>
        <v>81341401</v>
      </c>
      <c r="L41" s="4">
        <f t="shared" si="13"/>
        <v>65998730</v>
      </c>
      <c r="M41" s="4">
        <f t="shared" si="13"/>
        <v>63998649</v>
      </c>
      <c r="N41" s="4">
        <f t="shared" si="13"/>
        <v>78263130</v>
      </c>
      <c r="O41" s="4">
        <f t="shared" si="13"/>
        <v>72220748</v>
      </c>
      <c r="P41" s="4">
        <f t="shared" si="13"/>
        <v>77929757</v>
      </c>
      <c r="Q41" s="4"/>
    </row>
    <row r="43" spans="1:17" x14ac:dyDescent="0.25">
      <c r="E43" t="s">
        <v>150</v>
      </c>
    </row>
  </sheetData>
  <printOptions horizontalCentered="1"/>
  <pageMargins left="0.70866141732283472" right="0.31496062992125984" top="0.94488188976377963" bottom="0.74803149606299213" header="0.31496062992125984" footer="0.31496062992125984"/>
  <pageSetup paperSize="9" scale="108" orientation="landscape" horizontalDpi="4294967293" verticalDpi="0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tabSelected="1" topLeftCell="B10" workbookViewId="0">
      <selection activeCell="N17" sqref="N17"/>
    </sheetView>
  </sheetViews>
  <sheetFormatPr defaultRowHeight="15" x14ac:dyDescent="0.25"/>
  <cols>
    <col min="1" max="1" width="34.7109375" customWidth="1"/>
    <col min="2" max="2" width="12.5703125" style="13" bestFit="1" customWidth="1"/>
    <col min="3" max="3" width="12.5703125" style="13" customWidth="1"/>
    <col min="4" max="4" width="12.5703125" style="13" bestFit="1" customWidth="1"/>
    <col min="5" max="5" width="12.5703125" style="13" customWidth="1"/>
    <col min="6" max="6" width="12.5703125" style="13" bestFit="1" customWidth="1"/>
    <col min="7" max="9" width="13" customWidth="1"/>
    <col min="10" max="10" width="14.28515625" customWidth="1"/>
    <col min="11" max="11" width="15" style="13" customWidth="1"/>
    <col min="12" max="13" width="14.28515625" bestFit="1" customWidth="1"/>
  </cols>
  <sheetData>
    <row r="1" spans="1:13" x14ac:dyDescent="0.25">
      <c r="A1" s="15" t="s">
        <v>108</v>
      </c>
    </row>
    <row r="2" spans="1:13" x14ac:dyDescent="0.25">
      <c r="A2" s="15" t="s">
        <v>61</v>
      </c>
    </row>
    <row r="3" spans="1:13" x14ac:dyDescent="0.25">
      <c r="B3" s="77" t="s">
        <v>56</v>
      </c>
      <c r="C3" s="77"/>
      <c r="D3" s="77" t="s">
        <v>57</v>
      </c>
      <c r="E3" s="77"/>
      <c r="F3" s="77" t="s">
        <v>58</v>
      </c>
      <c r="G3" s="77"/>
      <c r="H3" s="78" t="s">
        <v>70</v>
      </c>
      <c r="I3" s="78"/>
      <c r="J3" s="78" t="s">
        <v>204</v>
      </c>
      <c r="K3" s="78"/>
      <c r="L3" s="79" t="s">
        <v>87</v>
      </c>
      <c r="M3" s="79"/>
    </row>
    <row r="4" spans="1:13" x14ac:dyDescent="0.25">
      <c r="B4" s="14">
        <v>2023</v>
      </c>
      <c r="C4" s="14">
        <v>2024</v>
      </c>
      <c r="D4" s="14">
        <v>2023</v>
      </c>
      <c r="E4" s="14">
        <v>2024</v>
      </c>
      <c r="F4" s="14">
        <v>2023</v>
      </c>
      <c r="G4" s="14">
        <v>2024</v>
      </c>
      <c r="H4" s="14">
        <v>2023</v>
      </c>
      <c r="I4" s="14">
        <v>2024</v>
      </c>
      <c r="J4" s="14">
        <v>2023</v>
      </c>
      <c r="K4" s="14">
        <v>2024</v>
      </c>
      <c r="L4" s="14">
        <v>2023</v>
      </c>
      <c r="M4" s="14">
        <v>2024</v>
      </c>
    </row>
    <row r="5" spans="1:13" x14ac:dyDescent="0.25">
      <c r="A5" t="s">
        <v>15</v>
      </c>
      <c r="B5" s="13">
        <v>487606000</v>
      </c>
      <c r="C5" s="13">
        <v>417498000</v>
      </c>
      <c r="D5" s="13">
        <v>427539000</v>
      </c>
      <c r="E5" s="13">
        <v>341648000</v>
      </c>
      <c r="F5" s="13">
        <v>235418500</v>
      </c>
      <c r="G5" s="13">
        <v>167081000</v>
      </c>
      <c r="H5" s="4">
        <f>'LRKom 2023'!E4</f>
        <v>61784000</v>
      </c>
      <c r="I5" s="13">
        <v>240713640</v>
      </c>
      <c r="J5" s="13">
        <v>572003000</v>
      </c>
      <c r="K5" s="13">
        <v>666018000</v>
      </c>
      <c r="L5" s="48">
        <f>B5+D5+F5+H5+J5</f>
        <v>1784350500</v>
      </c>
      <c r="M5" s="48">
        <f>C5+E5+G5+I5+K5</f>
        <v>1832958640</v>
      </c>
    </row>
    <row r="6" spans="1:13" x14ac:dyDescent="0.25">
      <c r="A6" t="s">
        <v>16</v>
      </c>
      <c r="B6" s="13">
        <v>5360000</v>
      </c>
      <c r="C6" s="13">
        <v>4890000</v>
      </c>
      <c r="D6" s="13">
        <v>1130000</v>
      </c>
      <c r="E6" s="13">
        <v>5620000</v>
      </c>
      <c r="F6" s="13">
        <v>14130000</v>
      </c>
      <c r="G6" s="13">
        <v>11415375</v>
      </c>
      <c r="H6" s="4">
        <f>'LRKom 2023'!E5</f>
        <v>37597500</v>
      </c>
      <c r="I6" s="13">
        <v>37503000</v>
      </c>
      <c r="J6" s="13">
        <v>3030000</v>
      </c>
      <c r="K6" s="13">
        <v>3700000</v>
      </c>
      <c r="L6" s="48">
        <f t="shared" ref="L6:L28" si="0">B6+D6+F6+H6+J6</f>
        <v>61247500</v>
      </c>
      <c r="M6" s="48">
        <f t="shared" ref="M6:M28" si="1">C6+E6+G6+I6+K6</f>
        <v>63128375</v>
      </c>
    </row>
    <row r="7" spans="1:13" x14ac:dyDescent="0.25">
      <c r="A7" t="s">
        <v>17</v>
      </c>
      <c r="B7" s="13">
        <v>3672793</v>
      </c>
      <c r="C7" s="13">
        <v>23278750</v>
      </c>
      <c r="D7" s="13">
        <v>2099361</v>
      </c>
      <c r="E7" s="13">
        <v>801544</v>
      </c>
      <c r="F7" s="13">
        <v>6947931</v>
      </c>
      <c r="G7" s="13">
        <v>3887863</v>
      </c>
      <c r="H7" s="4">
        <f>'LRKom 2023'!E6</f>
        <v>27041895</v>
      </c>
      <c r="I7" s="13">
        <v>12570315</v>
      </c>
      <c r="J7" s="13">
        <v>40721498</v>
      </c>
      <c r="K7" s="13">
        <v>47030710</v>
      </c>
      <c r="L7" s="48">
        <f t="shared" si="0"/>
        <v>80483478</v>
      </c>
      <c r="M7" s="48">
        <f t="shared" si="1"/>
        <v>87569182</v>
      </c>
    </row>
    <row r="8" spans="1:13" x14ac:dyDescent="0.25">
      <c r="A8" t="s">
        <v>18</v>
      </c>
      <c r="B8" s="13">
        <v>9345000</v>
      </c>
      <c r="C8" s="13">
        <v>3626000</v>
      </c>
      <c r="D8" s="13">
        <v>2770000</v>
      </c>
      <c r="E8" s="13">
        <v>5459500</v>
      </c>
      <c r="F8" s="13">
        <v>3300000</v>
      </c>
      <c r="G8" s="13">
        <v>6490000</v>
      </c>
      <c r="H8" s="4">
        <f>'LRKom 2023'!E7</f>
        <v>1036000</v>
      </c>
      <c r="I8" s="13">
        <v>9554000</v>
      </c>
      <c r="J8" s="13">
        <v>3625000</v>
      </c>
      <c r="K8" s="13">
        <v>5213000</v>
      </c>
      <c r="L8" s="48">
        <f t="shared" si="0"/>
        <v>20076000</v>
      </c>
      <c r="M8" s="48">
        <f t="shared" si="1"/>
        <v>30342500</v>
      </c>
    </row>
    <row r="9" spans="1:13" x14ac:dyDescent="0.25">
      <c r="A9" t="s">
        <v>19</v>
      </c>
      <c r="B9" s="13">
        <v>717432</v>
      </c>
      <c r="C9" s="13">
        <v>2605774</v>
      </c>
      <c r="D9" s="13">
        <v>709094</v>
      </c>
      <c r="E9" s="13">
        <v>2330184</v>
      </c>
      <c r="F9" s="13">
        <v>252245</v>
      </c>
      <c r="G9" s="13">
        <v>1168830</v>
      </c>
      <c r="H9" s="4">
        <f>'LRKom 2023'!E8</f>
        <v>2240824</v>
      </c>
      <c r="I9" s="13">
        <v>782185</v>
      </c>
      <c r="J9" s="13">
        <v>1564760</v>
      </c>
      <c r="K9" s="13">
        <v>831015</v>
      </c>
      <c r="L9" s="48">
        <f t="shared" si="0"/>
        <v>5484355</v>
      </c>
      <c r="M9" s="48">
        <f t="shared" si="1"/>
        <v>7717988</v>
      </c>
    </row>
    <row r="10" spans="1:13" x14ac:dyDescent="0.25">
      <c r="A10" s="15" t="s">
        <v>62</v>
      </c>
      <c r="B10" s="16">
        <f t="shared" ref="B10:K10" si="2">SUM(B5:B9)</f>
        <v>506701225</v>
      </c>
      <c r="C10" s="16">
        <f t="shared" si="2"/>
        <v>451898524</v>
      </c>
      <c r="D10" s="16">
        <f t="shared" si="2"/>
        <v>434247455</v>
      </c>
      <c r="E10" s="16">
        <f t="shared" si="2"/>
        <v>355859228</v>
      </c>
      <c r="F10" s="16">
        <f t="shared" si="2"/>
        <v>260048676</v>
      </c>
      <c r="G10" s="16">
        <f t="shared" si="2"/>
        <v>190043068</v>
      </c>
      <c r="H10" s="16">
        <f>SUM(H5:H9)</f>
        <v>129700219</v>
      </c>
      <c r="I10" s="16">
        <f t="shared" ref="I10:K10" si="3">SUM(I5:I9)</f>
        <v>301123140</v>
      </c>
      <c r="J10" s="16">
        <f t="shared" si="3"/>
        <v>620944258</v>
      </c>
      <c r="K10" s="16">
        <f t="shared" si="3"/>
        <v>722792725</v>
      </c>
      <c r="L10" s="47">
        <f t="shared" si="0"/>
        <v>1951641833</v>
      </c>
      <c r="M10" s="47">
        <f t="shared" si="1"/>
        <v>2021716685</v>
      </c>
    </row>
    <row r="11" spans="1:13" x14ac:dyDescent="0.25">
      <c r="A11" t="s">
        <v>21</v>
      </c>
      <c r="B11" s="13">
        <v>970000</v>
      </c>
      <c r="C11" s="13">
        <v>1280000</v>
      </c>
      <c r="D11" s="13">
        <v>0</v>
      </c>
      <c r="E11" s="13">
        <v>1703000</v>
      </c>
      <c r="F11" s="13">
        <v>1561000</v>
      </c>
      <c r="G11" s="13">
        <v>900000</v>
      </c>
      <c r="H11" s="4">
        <f>'LRKom 2023'!E10</f>
        <v>2500000</v>
      </c>
      <c r="I11" s="13">
        <v>2541500</v>
      </c>
      <c r="L11" s="48">
        <f t="shared" si="0"/>
        <v>5031000</v>
      </c>
      <c r="M11" s="48">
        <f t="shared" si="1"/>
        <v>6424500</v>
      </c>
    </row>
    <row r="12" spans="1:13" x14ac:dyDescent="0.25">
      <c r="A12" t="s">
        <v>22</v>
      </c>
      <c r="B12" s="13">
        <v>6662817</v>
      </c>
      <c r="C12" s="13">
        <v>15274501</v>
      </c>
      <c r="D12" s="13">
        <v>4813767</v>
      </c>
      <c r="E12" s="13">
        <v>5738001</v>
      </c>
      <c r="F12" s="13">
        <v>3349017</v>
      </c>
      <c r="G12" s="13">
        <v>13774027</v>
      </c>
      <c r="H12" s="4">
        <f>'LRKom 2023'!E11</f>
        <v>6680801</v>
      </c>
      <c r="I12" s="13">
        <v>3677623</v>
      </c>
      <c r="J12" s="4">
        <v>2481001</v>
      </c>
      <c r="K12" s="13">
        <v>4803123</v>
      </c>
      <c r="L12" s="48">
        <f t="shared" si="0"/>
        <v>23987403</v>
      </c>
      <c r="M12" s="48">
        <f t="shared" si="1"/>
        <v>43267275</v>
      </c>
    </row>
    <row r="13" spans="1:13" x14ac:dyDescent="0.25">
      <c r="A13" s="15" t="s">
        <v>23</v>
      </c>
      <c r="B13" s="16">
        <f>B10-B11-B12</f>
        <v>499068408</v>
      </c>
      <c r="C13" s="16">
        <f t="shared" ref="C13:K13" si="4">C10-C11-C12</f>
        <v>435344023</v>
      </c>
      <c r="D13" s="16">
        <f t="shared" si="4"/>
        <v>429433688</v>
      </c>
      <c r="E13" s="16">
        <f t="shared" si="4"/>
        <v>348418227</v>
      </c>
      <c r="F13" s="16">
        <f t="shared" si="4"/>
        <v>255138659</v>
      </c>
      <c r="G13" s="16">
        <f t="shared" si="4"/>
        <v>175369041</v>
      </c>
      <c r="H13" s="16">
        <f>H10-H11-H12</f>
        <v>120519418</v>
      </c>
      <c r="I13" s="16">
        <f>I10-I11-I12</f>
        <v>294904017</v>
      </c>
      <c r="J13" s="16">
        <f t="shared" ref="J13:K13" si="5">J10-J11-J12</f>
        <v>618463257</v>
      </c>
      <c r="K13" s="16">
        <f t="shared" si="5"/>
        <v>717989602</v>
      </c>
      <c r="L13" s="47">
        <f t="shared" si="0"/>
        <v>1922623430</v>
      </c>
      <c r="M13" s="47">
        <f t="shared" si="1"/>
        <v>1972024910</v>
      </c>
    </row>
    <row r="14" spans="1:13" x14ac:dyDescent="0.25">
      <c r="G14" s="13"/>
      <c r="I14" s="13"/>
      <c r="L14" s="48">
        <f t="shared" si="0"/>
        <v>0</v>
      </c>
      <c r="M14" s="48">
        <f t="shared" si="1"/>
        <v>0</v>
      </c>
    </row>
    <row r="15" spans="1:13" x14ac:dyDescent="0.25">
      <c r="A15" t="s">
        <v>64</v>
      </c>
      <c r="B15" s="13">
        <v>92319638</v>
      </c>
      <c r="C15" s="13">
        <f>'LRKom 2024'!B14</f>
        <v>84454169</v>
      </c>
      <c r="D15" s="13">
        <v>86821507</v>
      </c>
      <c r="E15" s="13">
        <f>'LRKom 2024'!C14</f>
        <v>82353650</v>
      </c>
      <c r="F15" s="13">
        <v>83841403</v>
      </c>
      <c r="G15" s="13">
        <f>'LRKom 2024'!D14</f>
        <v>76911421</v>
      </c>
      <c r="H15" s="4">
        <f>'LRKom 2023'!E14</f>
        <v>65299511</v>
      </c>
      <c r="I15" s="13">
        <f>'LRKom 2024'!E14</f>
        <v>69183186</v>
      </c>
      <c r="J15" s="13">
        <v>75931714</v>
      </c>
      <c r="K15" s="13">
        <f>72751983+2700000+3315888+2300000+2700000</f>
        <v>83767871</v>
      </c>
      <c r="L15" s="48">
        <f t="shared" si="0"/>
        <v>404213773</v>
      </c>
      <c r="M15" s="48">
        <f t="shared" si="1"/>
        <v>396670297</v>
      </c>
    </row>
    <row r="16" spans="1:13" x14ac:dyDescent="0.25">
      <c r="A16" t="s">
        <v>25</v>
      </c>
      <c r="B16" s="13">
        <v>9337567</v>
      </c>
      <c r="C16" s="13">
        <f>5826800+300000+383000+1750000</f>
        <v>8259800</v>
      </c>
      <c r="D16" s="13">
        <v>13445883</v>
      </c>
      <c r="E16" s="13">
        <f>3676463+100000+356200+1750000</f>
        <v>5882663</v>
      </c>
      <c r="F16" s="13">
        <v>4560553</v>
      </c>
      <c r="G16" s="13">
        <f>3010000+300000+833150+1750000</f>
        <v>5893150</v>
      </c>
      <c r="H16" s="4">
        <f>'LRKom 2023'!E15</f>
        <v>6789995</v>
      </c>
      <c r="I16" s="13">
        <f>4787500+450000+474000+1750000</f>
        <v>7461500</v>
      </c>
      <c r="J16" s="13">
        <v>17352032</v>
      </c>
      <c r="K16" s="13">
        <f>6246731+300000+676300+1750000</f>
        <v>8973031</v>
      </c>
      <c r="L16" s="48">
        <f t="shared" si="0"/>
        <v>51486030</v>
      </c>
      <c r="M16" s="48">
        <f t="shared" si="1"/>
        <v>36470144</v>
      </c>
    </row>
    <row r="17" spans="1:13" x14ac:dyDescent="0.25">
      <c r="A17" t="s">
        <v>26</v>
      </c>
      <c r="B17" s="13">
        <v>81735800</v>
      </c>
      <c r="C17" s="13">
        <v>85252900</v>
      </c>
      <c r="D17" s="13">
        <v>88148700</v>
      </c>
      <c r="E17" s="13">
        <v>68285500</v>
      </c>
      <c r="F17" s="13">
        <v>46653675</v>
      </c>
      <c r="G17" s="13">
        <v>40399450</v>
      </c>
      <c r="H17" s="4">
        <f>'LRKom 2023'!E16</f>
        <v>20413600</v>
      </c>
      <c r="I17" s="13">
        <v>58448375</v>
      </c>
      <c r="J17" s="13">
        <v>110129800</v>
      </c>
      <c r="K17" s="13">
        <v>136170700</v>
      </c>
      <c r="L17" s="48">
        <f t="shared" si="0"/>
        <v>347081575</v>
      </c>
      <c r="M17" s="48">
        <f t="shared" si="1"/>
        <v>388556925</v>
      </c>
    </row>
    <row r="18" spans="1:13" x14ac:dyDescent="0.25">
      <c r="A18" t="s">
        <v>27</v>
      </c>
      <c r="B18" s="13">
        <v>8790200</v>
      </c>
      <c r="C18" s="13">
        <v>5390550</v>
      </c>
      <c r="D18" s="13">
        <v>3819939</v>
      </c>
      <c r="E18" s="13">
        <v>7306000</v>
      </c>
      <c r="F18" s="13">
        <v>3675600</v>
      </c>
      <c r="G18" s="13">
        <v>5154400</v>
      </c>
      <c r="H18" s="4">
        <f>'LRKom 2023'!E17</f>
        <v>2298950</v>
      </c>
      <c r="I18" s="13">
        <v>6609182</v>
      </c>
      <c r="J18" s="13">
        <v>5655993</v>
      </c>
      <c r="K18" s="13">
        <v>7738125</v>
      </c>
      <c r="L18" s="48">
        <f t="shared" si="0"/>
        <v>24240682</v>
      </c>
      <c r="M18" s="48">
        <f t="shared" si="1"/>
        <v>32198257</v>
      </c>
    </row>
    <row r="19" spans="1:13" x14ac:dyDescent="0.25">
      <c r="A19" t="s">
        <v>28</v>
      </c>
      <c r="B19" s="13">
        <v>7483200</v>
      </c>
      <c r="C19" s="13">
        <v>13949000</v>
      </c>
      <c r="D19" s="13">
        <v>5947600</v>
      </c>
      <c r="E19" s="13">
        <v>10146200</v>
      </c>
      <c r="F19" s="13">
        <v>5648200</v>
      </c>
      <c r="G19" s="13">
        <v>7520300</v>
      </c>
      <c r="H19" s="4">
        <f>'LRKom 2023'!E18</f>
        <v>5405900</v>
      </c>
      <c r="I19" s="13">
        <v>6779500</v>
      </c>
      <c r="J19" s="13">
        <v>14149400</v>
      </c>
      <c r="K19" s="13">
        <v>16416800</v>
      </c>
      <c r="L19" s="48">
        <f t="shared" si="0"/>
        <v>38634300</v>
      </c>
      <c r="M19" s="48">
        <f t="shared" si="1"/>
        <v>54811800</v>
      </c>
    </row>
    <row r="20" spans="1:13" x14ac:dyDescent="0.25">
      <c r="A20" t="s">
        <v>29</v>
      </c>
      <c r="B20" s="13">
        <v>3283157</v>
      </c>
      <c r="C20" s="13">
        <f>2085503+1497800</f>
        <v>3583303</v>
      </c>
      <c r="D20" s="13">
        <v>3184918</v>
      </c>
      <c r="E20" s="13">
        <f>2282588+1125850</f>
        <v>3408438</v>
      </c>
      <c r="F20" s="13">
        <v>3164918</v>
      </c>
      <c r="G20" s="13">
        <f>1121850+2282588</f>
        <v>3404438</v>
      </c>
      <c r="H20" s="4">
        <f>'LRKom 2023'!E19</f>
        <v>3166918</v>
      </c>
      <c r="I20" s="13">
        <f>2282588+1121850</f>
        <v>3404438</v>
      </c>
      <c r="J20" s="13">
        <v>3166918</v>
      </c>
      <c r="K20" s="13">
        <f>1123850+2282588</f>
        <v>3406438</v>
      </c>
      <c r="L20" s="48">
        <f t="shared" si="0"/>
        <v>15966829</v>
      </c>
      <c r="M20" s="48">
        <f t="shared" si="1"/>
        <v>17207055</v>
      </c>
    </row>
    <row r="21" spans="1:13" x14ac:dyDescent="0.25">
      <c r="A21" t="s">
        <v>30</v>
      </c>
      <c r="B21" s="13">
        <v>30624994</v>
      </c>
      <c r="C21" s="13">
        <f>39544610+61166+568600</f>
        <v>40174376</v>
      </c>
      <c r="D21" s="13">
        <v>36162259</v>
      </c>
      <c r="E21" s="13">
        <f>29765561+64773+568600</f>
        <v>30398934</v>
      </c>
      <c r="F21" s="13">
        <v>27379609</v>
      </c>
      <c r="G21" s="13">
        <f>24025822+63386+568600</f>
        <v>24657808</v>
      </c>
      <c r="H21" s="4">
        <f>'LRKom 2023'!E20</f>
        <v>27474120</v>
      </c>
      <c r="I21" s="13">
        <f>22564236+63108+568600</f>
        <v>23195944</v>
      </c>
      <c r="J21" s="13">
        <v>13459154</v>
      </c>
      <c r="K21" s="13">
        <f>20493439+80891+568600</f>
        <v>21142930</v>
      </c>
      <c r="L21" s="48">
        <f t="shared" si="0"/>
        <v>135100136</v>
      </c>
      <c r="M21" s="48">
        <f t="shared" si="1"/>
        <v>139569992</v>
      </c>
    </row>
    <row r="22" spans="1:13" x14ac:dyDescent="0.25">
      <c r="A22" t="s">
        <v>31</v>
      </c>
      <c r="B22" s="13">
        <v>2544700</v>
      </c>
      <c r="C22" s="13">
        <v>278800</v>
      </c>
      <c r="D22" s="13">
        <v>2840185</v>
      </c>
      <c r="E22" s="13">
        <v>137500</v>
      </c>
      <c r="F22" s="13">
        <v>1540817</v>
      </c>
      <c r="G22" s="13">
        <v>1407800</v>
      </c>
      <c r="H22" s="4">
        <f>'LRKom 2023'!E21</f>
        <v>621600</v>
      </c>
      <c r="I22" s="13">
        <v>33250</v>
      </c>
      <c r="J22" s="13">
        <v>1537693</v>
      </c>
      <c r="K22" s="13">
        <v>181140</v>
      </c>
      <c r="L22" s="48">
        <f t="shared" si="0"/>
        <v>9084995</v>
      </c>
      <c r="M22" s="48">
        <f t="shared" si="1"/>
        <v>2038490</v>
      </c>
    </row>
    <row r="23" spans="1:13" x14ac:dyDescent="0.25">
      <c r="A23" t="s">
        <v>32</v>
      </c>
      <c r="B23" s="13">
        <v>7081466</v>
      </c>
      <c r="C23" s="13">
        <v>290500</v>
      </c>
      <c r="D23" s="13">
        <v>1990039</v>
      </c>
      <c r="E23" s="13">
        <v>334508</v>
      </c>
      <c r="F23" s="13">
        <v>236425</v>
      </c>
      <c r="G23" s="13">
        <v>590470</v>
      </c>
      <c r="H23" s="4">
        <f>'LRKom 2023'!E22</f>
        <v>0</v>
      </c>
      <c r="I23" s="13">
        <v>0</v>
      </c>
      <c r="L23" s="48">
        <f t="shared" si="0"/>
        <v>9307930</v>
      </c>
      <c r="M23" s="48">
        <f t="shared" si="1"/>
        <v>1215478</v>
      </c>
    </row>
    <row r="24" spans="1:13" x14ac:dyDescent="0.25">
      <c r="A24" t="s">
        <v>59</v>
      </c>
      <c r="E24" s="13">
        <v>22137450</v>
      </c>
      <c r="G24" s="13"/>
      <c r="I24" s="13"/>
      <c r="L24" s="48">
        <f t="shared" si="0"/>
        <v>0</v>
      </c>
      <c r="M24" s="48">
        <f t="shared" si="1"/>
        <v>22137450</v>
      </c>
    </row>
    <row r="25" spans="1:13" x14ac:dyDescent="0.25">
      <c r="A25" t="s">
        <v>60</v>
      </c>
      <c r="B25" s="13">
        <v>0</v>
      </c>
      <c r="D25" s="13">
        <v>0</v>
      </c>
      <c r="F25" s="13">
        <v>0</v>
      </c>
      <c r="G25" s="13">
        <v>1214510</v>
      </c>
      <c r="I25" s="13">
        <v>3384776</v>
      </c>
      <c r="K25" s="13">
        <v>366144</v>
      </c>
      <c r="L25" s="48">
        <f t="shared" si="0"/>
        <v>0</v>
      </c>
      <c r="M25" s="48">
        <f t="shared" si="1"/>
        <v>4965430</v>
      </c>
    </row>
    <row r="26" spans="1:13" x14ac:dyDescent="0.25">
      <c r="A26" t="s">
        <v>65</v>
      </c>
      <c r="B26" s="13">
        <v>0</v>
      </c>
      <c r="C26" s="13">
        <v>7000000</v>
      </c>
      <c r="D26" s="13">
        <v>0</v>
      </c>
      <c r="E26" s="13">
        <v>7000000</v>
      </c>
      <c r="F26" s="13">
        <v>0</v>
      </c>
      <c r="G26" s="13">
        <v>7000000</v>
      </c>
      <c r="H26" s="4">
        <f>'LRKom 2023'!E23</f>
        <v>0</v>
      </c>
      <c r="I26" s="13">
        <v>7000000</v>
      </c>
      <c r="K26" s="13">
        <v>7000000</v>
      </c>
      <c r="L26" s="48">
        <f t="shared" si="0"/>
        <v>0</v>
      </c>
      <c r="M26" s="48">
        <f t="shared" si="1"/>
        <v>35000000</v>
      </c>
    </row>
    <row r="27" spans="1:13" x14ac:dyDescent="0.25">
      <c r="A27" s="15" t="s">
        <v>63</v>
      </c>
      <c r="B27" s="16">
        <f>SUM(B15:B26)</f>
        <v>243200722</v>
      </c>
      <c r="C27" s="16">
        <f>SUM(C15:C26)</f>
        <v>248633398</v>
      </c>
      <c r="D27" s="16">
        <f t="shared" ref="D27:K27" si="6">SUM(D15:D26)</f>
        <v>242361030</v>
      </c>
      <c r="E27" s="16">
        <f t="shared" si="6"/>
        <v>237390843</v>
      </c>
      <c r="F27" s="16">
        <f t="shared" si="6"/>
        <v>176701200</v>
      </c>
      <c r="G27" s="16">
        <f t="shared" si="6"/>
        <v>174153747</v>
      </c>
      <c r="H27" s="16">
        <f>SUM(H15:H26)</f>
        <v>131470594</v>
      </c>
      <c r="I27" s="16">
        <f>SUM(I15:I26)</f>
        <v>185500151</v>
      </c>
      <c r="J27" s="16">
        <f t="shared" ref="J27:K27" si="7">SUM(J15:J26)</f>
        <v>241382704</v>
      </c>
      <c r="K27" s="16">
        <f t="shared" si="7"/>
        <v>285163179</v>
      </c>
      <c r="L27" s="47">
        <f t="shared" si="0"/>
        <v>1035116250</v>
      </c>
      <c r="M27" s="47">
        <f t="shared" si="1"/>
        <v>1130841318</v>
      </c>
    </row>
    <row r="28" spans="1:13" x14ac:dyDescent="0.25">
      <c r="A28" s="15" t="s">
        <v>36</v>
      </c>
      <c r="B28" s="16">
        <f t="shared" ref="B28:K28" si="8">B13-B27</f>
        <v>255867686</v>
      </c>
      <c r="C28" s="16">
        <f>C13-C27</f>
        <v>186710625</v>
      </c>
      <c r="D28" s="16">
        <f t="shared" si="8"/>
        <v>187072658</v>
      </c>
      <c r="E28" s="16">
        <f t="shared" si="8"/>
        <v>111027384</v>
      </c>
      <c r="F28" s="16">
        <f t="shared" si="8"/>
        <v>78437459</v>
      </c>
      <c r="G28" s="16">
        <f t="shared" si="8"/>
        <v>1215294</v>
      </c>
      <c r="H28" s="16">
        <f>H13-H27</f>
        <v>-10951176</v>
      </c>
      <c r="I28" s="16">
        <f>I13-I27</f>
        <v>109403866</v>
      </c>
      <c r="J28" s="16">
        <f t="shared" ref="J28:K28" si="9">J13-J27</f>
        <v>377080553</v>
      </c>
      <c r="K28" s="16">
        <f t="shared" si="9"/>
        <v>432826423</v>
      </c>
      <c r="L28" s="47">
        <f t="shared" si="0"/>
        <v>887507180</v>
      </c>
      <c r="M28" s="47">
        <f t="shared" si="1"/>
        <v>841183592</v>
      </c>
    </row>
    <row r="31" spans="1:13" x14ac:dyDescent="0.25">
      <c r="A31" t="s">
        <v>144</v>
      </c>
      <c r="B31" s="57">
        <f>B17/B13</f>
        <v>0.16377674621311633</v>
      </c>
      <c r="C31" s="57">
        <f t="shared" ref="C31:M31" si="10">C17/C13</f>
        <v>0.19582880548701137</v>
      </c>
      <c r="D31" s="57">
        <f t="shared" si="10"/>
        <v>0.20526731475244672</v>
      </c>
      <c r="E31" s="57">
        <f t="shared" si="10"/>
        <v>0.19598716343849601</v>
      </c>
      <c r="F31" s="57">
        <f t="shared" si="10"/>
        <v>0.18285615822727985</v>
      </c>
      <c r="G31" s="57">
        <f t="shared" si="10"/>
        <v>0.23036819822718879</v>
      </c>
      <c r="H31" s="57">
        <f t="shared" si="10"/>
        <v>0.16938017407286185</v>
      </c>
      <c r="I31" s="57">
        <f t="shared" si="10"/>
        <v>0.19819457054055659</v>
      </c>
      <c r="J31" s="57">
        <f t="shared" si="10"/>
        <v>0.17807007733039831</v>
      </c>
      <c r="K31" s="57">
        <f t="shared" si="10"/>
        <v>0.18965553208666106</v>
      </c>
      <c r="L31" s="58">
        <f t="shared" si="10"/>
        <v>0.18052498975319364</v>
      </c>
      <c r="M31" s="58">
        <f t="shared" si="10"/>
        <v>0.19703449131380393</v>
      </c>
    </row>
    <row r="32" spans="1:13" x14ac:dyDescent="0.25">
      <c r="A32" t="s">
        <v>145</v>
      </c>
      <c r="B32" s="57">
        <f>B19/B13</f>
        <v>1.4994337209178747E-2</v>
      </c>
      <c r="C32" s="57">
        <f t="shared" ref="C32:M32" si="11">C19/C13</f>
        <v>3.2041326544179981E-2</v>
      </c>
      <c r="D32" s="57">
        <f t="shared" si="11"/>
        <v>1.3849868247877191E-2</v>
      </c>
      <c r="E32" s="57">
        <f t="shared" si="11"/>
        <v>2.9120749759168025E-2</v>
      </c>
      <c r="F32" s="57">
        <f t="shared" si="11"/>
        <v>2.2137766272417383E-2</v>
      </c>
      <c r="G32" s="57">
        <f t="shared" si="11"/>
        <v>4.2882711549982189E-2</v>
      </c>
      <c r="H32" s="57">
        <f t="shared" si="11"/>
        <v>4.4855012492675664E-2</v>
      </c>
      <c r="I32" s="57">
        <f t="shared" si="11"/>
        <v>2.2988835720064132E-2</v>
      </c>
      <c r="J32" s="57">
        <f>H19/H13</f>
        <v>4.4855012492675664E-2</v>
      </c>
      <c r="K32" s="57">
        <f>I19/I13</f>
        <v>2.2988835720064132E-2</v>
      </c>
      <c r="L32" s="58">
        <f t="shared" si="11"/>
        <v>2.0094574630248836E-2</v>
      </c>
      <c r="M32" s="58">
        <f t="shared" si="11"/>
        <v>2.7794679327858996E-2</v>
      </c>
    </row>
    <row r="33" spans="1:13" x14ac:dyDescent="0.25">
      <c r="A33" t="s">
        <v>146</v>
      </c>
      <c r="B33" s="57">
        <f>B18/B13</f>
        <v>1.7613216663475921E-2</v>
      </c>
      <c r="C33" s="57">
        <f t="shared" ref="C33:M33" si="12">C18/C13</f>
        <v>1.2382276349754778E-2</v>
      </c>
      <c r="D33" s="57">
        <f t="shared" si="12"/>
        <v>8.8952942136202411E-3</v>
      </c>
      <c r="E33" s="57">
        <f t="shared" si="12"/>
        <v>2.0969052230439138E-2</v>
      </c>
      <c r="F33" s="57">
        <f t="shared" si="12"/>
        <v>1.4406284074731301E-2</v>
      </c>
      <c r="G33" s="57">
        <f t="shared" si="12"/>
        <v>2.939173283156632E-2</v>
      </c>
      <c r="H33" s="57">
        <f t="shared" si="12"/>
        <v>1.907534933499264E-2</v>
      </c>
      <c r="I33" s="57">
        <f t="shared" si="12"/>
        <v>2.2411298656538816E-2</v>
      </c>
      <c r="J33" s="57">
        <f>H18/H13</f>
        <v>1.907534933499264E-2</v>
      </c>
      <c r="K33" s="57">
        <f>I18/I13</f>
        <v>2.2411298656538816E-2</v>
      </c>
      <c r="L33" s="58">
        <f t="shared" si="12"/>
        <v>1.2608127843318752E-2</v>
      </c>
      <c r="M33" s="58">
        <f t="shared" si="12"/>
        <v>1.6327510284847264E-2</v>
      </c>
    </row>
    <row r="34" spans="1:13" hidden="1" x14ac:dyDescent="0.25">
      <c r="A34" t="s">
        <v>147</v>
      </c>
      <c r="B34" s="57">
        <f>B16/B13</f>
        <v>1.8709994161762288E-2</v>
      </c>
      <c r="C34" s="57">
        <f t="shared" ref="C34:M34" si="13">C16/C13</f>
        <v>1.8973041005779467E-2</v>
      </c>
      <c r="D34" s="57">
        <f t="shared" si="13"/>
        <v>3.1310731728154496E-2</v>
      </c>
      <c r="E34" s="57">
        <f t="shared" si="13"/>
        <v>1.6883912907346262E-2</v>
      </c>
      <c r="F34" s="57">
        <f t="shared" si="13"/>
        <v>1.7874801952298416E-2</v>
      </c>
      <c r="G34" s="57">
        <f t="shared" si="13"/>
        <v>3.3604277963748458E-2</v>
      </c>
      <c r="H34" s="57"/>
      <c r="I34" s="57"/>
      <c r="J34" s="57">
        <f>H16/H13</f>
        <v>5.6339427394181407E-2</v>
      </c>
      <c r="K34" s="57">
        <f>I16/I13</f>
        <v>2.5301452573974263E-2</v>
      </c>
      <c r="L34" s="58">
        <f t="shared" si="13"/>
        <v>2.6779050539293595E-2</v>
      </c>
      <c r="M34" s="58">
        <f t="shared" si="13"/>
        <v>1.8493754219362269E-2</v>
      </c>
    </row>
  </sheetData>
  <mergeCells count="6">
    <mergeCell ref="B3:C3"/>
    <mergeCell ref="D3:E3"/>
    <mergeCell ref="F3:G3"/>
    <mergeCell ref="H3:I3"/>
    <mergeCell ref="L3:M3"/>
    <mergeCell ref="J3:K3"/>
  </mergeCells>
  <pageMargins left="0.51181102362204722" right="0.70866141732283472" top="0.74803149606299213" bottom="0.74803149606299213" header="0.31496062992125984" footer="0.31496062992125984"/>
  <pageSetup paperSize="9" scale="68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70"/>
  <sheetViews>
    <sheetView topLeftCell="A55" workbookViewId="0">
      <selection activeCell="D75" sqref="D75"/>
    </sheetView>
  </sheetViews>
  <sheetFormatPr defaultRowHeight="15" x14ac:dyDescent="0.25"/>
  <cols>
    <col min="1" max="1" width="22" customWidth="1"/>
    <col min="2" max="2" width="15.42578125" customWidth="1"/>
    <col min="3" max="3" width="14.140625" customWidth="1"/>
    <col min="4" max="4" width="14.5703125" customWidth="1"/>
    <col min="6" max="6" width="22.140625" customWidth="1"/>
    <col min="7" max="7" width="15.7109375" customWidth="1"/>
    <col min="8" max="8" width="14.28515625" customWidth="1"/>
  </cols>
  <sheetData>
    <row r="2" spans="1:8" ht="30" x14ac:dyDescent="0.25">
      <c r="A2" s="20" t="s">
        <v>69</v>
      </c>
      <c r="F2" s="21" t="s">
        <v>71</v>
      </c>
    </row>
    <row r="4" spans="1:8" x14ac:dyDescent="0.25">
      <c r="A4" s="17"/>
      <c r="B4" s="19">
        <v>2023</v>
      </c>
      <c r="C4" s="19">
        <v>2024</v>
      </c>
      <c r="F4" s="17"/>
      <c r="G4" s="19">
        <v>2023</v>
      </c>
      <c r="H4" s="19">
        <v>2024</v>
      </c>
    </row>
    <row r="5" spans="1:8" x14ac:dyDescent="0.25">
      <c r="A5" s="17" t="s">
        <v>66</v>
      </c>
      <c r="B5" s="18">
        <v>499068408</v>
      </c>
      <c r="C5" s="18">
        <v>435344023</v>
      </c>
      <c r="F5" s="17" t="s">
        <v>66</v>
      </c>
      <c r="G5" s="18">
        <f>'Compare LR 23&amp;24'!B28</f>
        <v>255867686</v>
      </c>
      <c r="H5" s="18">
        <f>'Compare LR 23&amp;24'!C28</f>
        <v>186710625</v>
      </c>
    </row>
    <row r="6" spans="1:8" x14ac:dyDescent="0.25">
      <c r="A6" s="17" t="s">
        <v>67</v>
      </c>
      <c r="B6" s="18">
        <v>429433688</v>
      </c>
      <c r="C6" s="18">
        <v>348418227</v>
      </c>
      <c r="F6" s="17" t="s">
        <v>67</v>
      </c>
      <c r="G6" s="18">
        <f>'Compare LR 23&amp;24'!D28</f>
        <v>187072658</v>
      </c>
      <c r="H6" s="18">
        <f>'Compare LR 23&amp;24'!E28</f>
        <v>111027384</v>
      </c>
    </row>
    <row r="7" spans="1:8" x14ac:dyDescent="0.25">
      <c r="A7" s="17" t="s">
        <v>68</v>
      </c>
      <c r="B7" s="18">
        <v>255138659</v>
      </c>
      <c r="C7" s="18">
        <v>175369041</v>
      </c>
      <c r="F7" s="17" t="s">
        <v>68</v>
      </c>
      <c r="G7" s="18">
        <f>'Compare LR 23&amp;24'!F28</f>
        <v>78437459</v>
      </c>
      <c r="H7" s="18">
        <f>'Compare LR 23&amp;24'!G28</f>
        <v>1215294</v>
      </c>
    </row>
    <row r="22" spans="1:8" ht="30" customHeight="1" x14ac:dyDescent="0.25">
      <c r="A22" s="25" t="s">
        <v>82</v>
      </c>
      <c r="F22" s="24" t="s">
        <v>72</v>
      </c>
    </row>
    <row r="23" spans="1:8" x14ac:dyDescent="0.25">
      <c r="A23" s="17"/>
      <c r="B23" s="23">
        <v>2022</v>
      </c>
      <c r="C23" s="23">
        <v>2023</v>
      </c>
      <c r="F23" s="17"/>
      <c r="G23" s="23">
        <v>2022</v>
      </c>
      <c r="H23" s="23">
        <v>2023</v>
      </c>
    </row>
    <row r="24" spans="1:8" x14ac:dyDescent="0.25">
      <c r="A24" s="17" t="s">
        <v>66</v>
      </c>
      <c r="B24" s="18">
        <v>305592700</v>
      </c>
      <c r="C24" s="18">
        <v>499068408</v>
      </c>
      <c r="F24" s="17" t="s">
        <v>66</v>
      </c>
      <c r="G24" s="18">
        <v>179705822</v>
      </c>
      <c r="H24" s="18">
        <v>255867686</v>
      </c>
    </row>
    <row r="25" spans="1:8" x14ac:dyDescent="0.25">
      <c r="A25" s="17" t="s">
        <v>67</v>
      </c>
      <c r="B25" s="18">
        <v>299329392</v>
      </c>
      <c r="C25" s="18">
        <v>429433688</v>
      </c>
      <c r="F25" s="17" t="s">
        <v>67</v>
      </c>
      <c r="G25" s="18">
        <v>163294623</v>
      </c>
      <c r="H25" s="18">
        <v>187072658</v>
      </c>
    </row>
    <row r="26" spans="1:8" x14ac:dyDescent="0.25">
      <c r="A26" s="17" t="s">
        <v>68</v>
      </c>
      <c r="B26" s="18">
        <v>315731059</v>
      </c>
      <c r="C26" s="18">
        <v>255138659</v>
      </c>
      <c r="F26" s="17" t="s">
        <v>68</v>
      </c>
      <c r="G26" s="18">
        <v>163222438</v>
      </c>
      <c r="H26" s="18">
        <v>78437459</v>
      </c>
    </row>
    <row r="27" spans="1:8" x14ac:dyDescent="0.25">
      <c r="A27" s="17" t="s">
        <v>73</v>
      </c>
      <c r="B27" s="18">
        <v>17119303</v>
      </c>
      <c r="C27" s="18">
        <v>120519418</v>
      </c>
      <c r="F27" s="17" t="s">
        <v>73</v>
      </c>
      <c r="G27" s="18">
        <v>-138404953</v>
      </c>
      <c r="H27" s="18">
        <v>-10951176</v>
      </c>
    </row>
    <row r="28" spans="1:8" x14ac:dyDescent="0.25">
      <c r="A28" s="17" t="s">
        <v>74</v>
      </c>
      <c r="B28" s="18">
        <v>376679792</v>
      </c>
      <c r="C28" s="18">
        <v>618463257</v>
      </c>
      <c r="F28" s="17" t="s">
        <v>74</v>
      </c>
      <c r="G28" s="18">
        <v>240445223</v>
      </c>
      <c r="H28" s="18">
        <v>377080553</v>
      </c>
    </row>
    <row r="29" spans="1:8" x14ac:dyDescent="0.25">
      <c r="A29" s="17" t="s">
        <v>75</v>
      </c>
      <c r="B29" s="18">
        <v>441155573</v>
      </c>
      <c r="C29" s="18">
        <v>425370872</v>
      </c>
      <c r="F29" s="17" t="s">
        <v>75</v>
      </c>
      <c r="G29" s="18">
        <v>172555209</v>
      </c>
      <c r="H29" s="18">
        <v>185401082</v>
      </c>
    </row>
    <row r="30" spans="1:8" x14ac:dyDescent="0.25">
      <c r="A30" s="17" t="s">
        <v>76</v>
      </c>
      <c r="B30" s="18">
        <v>228551188</v>
      </c>
      <c r="C30" s="18">
        <v>268772904</v>
      </c>
      <c r="F30" s="17" t="s">
        <v>76</v>
      </c>
      <c r="G30" s="18">
        <v>68752673</v>
      </c>
      <c r="H30" s="18">
        <v>68087256</v>
      </c>
    </row>
    <row r="31" spans="1:8" x14ac:dyDescent="0.25">
      <c r="A31" s="17" t="s">
        <v>77</v>
      </c>
      <c r="B31" s="18">
        <v>190896164</v>
      </c>
      <c r="C31" s="18">
        <v>211424118</v>
      </c>
      <c r="F31" s="17" t="s">
        <v>77</v>
      </c>
      <c r="G31" s="18">
        <v>39037626</v>
      </c>
      <c r="H31" s="18">
        <v>55086141</v>
      </c>
    </row>
    <row r="32" spans="1:8" x14ac:dyDescent="0.25">
      <c r="A32" s="17" t="s">
        <v>78</v>
      </c>
      <c r="B32" s="18">
        <v>234065719</v>
      </c>
      <c r="C32" s="18">
        <v>192486955</v>
      </c>
      <c r="F32" s="17" t="s">
        <v>78</v>
      </c>
      <c r="G32" s="18">
        <v>112246091</v>
      </c>
      <c r="H32" s="18">
        <v>-31235681</v>
      </c>
    </row>
    <row r="33" spans="1:8" x14ac:dyDescent="0.25">
      <c r="A33" s="17" t="s">
        <v>79</v>
      </c>
      <c r="B33" s="18">
        <v>368120625</v>
      </c>
      <c r="C33" s="18">
        <v>286538231</v>
      </c>
      <c r="F33" s="17" t="s">
        <v>79</v>
      </c>
      <c r="G33" s="18">
        <v>198426261</v>
      </c>
      <c r="H33" s="18">
        <v>92384679</v>
      </c>
    </row>
    <row r="34" spans="1:8" x14ac:dyDescent="0.25">
      <c r="A34" s="17" t="s">
        <v>80</v>
      </c>
      <c r="B34" s="18">
        <v>439450075</v>
      </c>
      <c r="C34" s="18">
        <v>368240702</v>
      </c>
      <c r="F34" s="17" t="s">
        <v>80</v>
      </c>
      <c r="G34" s="18">
        <v>204541974</v>
      </c>
      <c r="H34" s="18">
        <v>163040741</v>
      </c>
    </row>
    <row r="35" spans="1:8" x14ac:dyDescent="0.25">
      <c r="A35" s="17" t="s">
        <v>81</v>
      </c>
      <c r="B35" s="18">
        <v>618112310</v>
      </c>
      <c r="C35" s="18">
        <v>607028568</v>
      </c>
      <c r="F35" s="17" t="s">
        <v>81</v>
      </c>
      <c r="G35" s="18">
        <v>356106803</v>
      </c>
      <c r="H35" s="18">
        <v>353979474</v>
      </c>
    </row>
    <row r="53" spans="1:4" x14ac:dyDescent="0.25">
      <c r="A53" t="s">
        <v>83</v>
      </c>
    </row>
    <row r="56" spans="1:4" x14ac:dyDescent="0.25">
      <c r="A56" s="17"/>
      <c r="B56" s="80">
        <v>2024</v>
      </c>
      <c r="C56" s="80"/>
      <c r="D56" s="80"/>
    </row>
    <row r="57" spans="1:4" x14ac:dyDescent="0.25">
      <c r="A57" s="17"/>
      <c r="B57" s="19" t="s">
        <v>84</v>
      </c>
      <c r="C57" s="19" t="s">
        <v>85</v>
      </c>
      <c r="D57" s="19" t="s">
        <v>86</v>
      </c>
    </row>
    <row r="58" spans="1:4" x14ac:dyDescent="0.25">
      <c r="A58" s="17" t="s">
        <v>66</v>
      </c>
      <c r="B58" s="18">
        <v>435344023</v>
      </c>
      <c r="C58" s="18">
        <v>231333401</v>
      </c>
      <c r="D58" s="18">
        <v>159850622</v>
      </c>
    </row>
    <row r="59" spans="1:4" x14ac:dyDescent="0.25">
      <c r="A59" s="17" t="s">
        <v>67</v>
      </c>
      <c r="B59" s="18">
        <v>351278227</v>
      </c>
      <c r="C59" s="18">
        <v>242361030</v>
      </c>
      <c r="D59" s="18">
        <v>117687384</v>
      </c>
    </row>
    <row r="60" spans="1:4" x14ac:dyDescent="0.25">
      <c r="A60" s="17" t="s">
        <v>68</v>
      </c>
      <c r="B60" s="18">
        <v>175369041</v>
      </c>
      <c r="C60" s="18">
        <v>176701200</v>
      </c>
      <c r="D60" s="18">
        <v>5215294</v>
      </c>
    </row>
    <row r="61" spans="1:4" x14ac:dyDescent="0.25">
      <c r="A61" s="17" t="s">
        <v>73</v>
      </c>
      <c r="B61" s="27">
        <v>300910155</v>
      </c>
      <c r="C61" s="27">
        <v>183566812</v>
      </c>
      <c r="D61" s="18">
        <f>B61-C61</f>
        <v>117343343</v>
      </c>
    </row>
    <row r="62" spans="1:4" x14ac:dyDescent="0.25">
      <c r="A62" s="17" t="s">
        <v>74</v>
      </c>
      <c r="B62" s="18">
        <v>455160000</v>
      </c>
      <c r="C62" s="18">
        <v>220000000</v>
      </c>
      <c r="D62" s="18">
        <f t="shared" ref="D62:D69" si="0">B62-C62</f>
        <v>235160000</v>
      </c>
    </row>
    <row r="63" spans="1:4" x14ac:dyDescent="0.25">
      <c r="A63" s="28" t="s">
        <v>75</v>
      </c>
      <c r="B63" s="29">
        <v>300000000</v>
      </c>
      <c r="C63" s="29">
        <v>200000000</v>
      </c>
      <c r="D63" s="29">
        <f t="shared" si="0"/>
        <v>100000000</v>
      </c>
    </row>
    <row r="64" spans="1:4" x14ac:dyDescent="0.25">
      <c r="A64" s="28" t="s">
        <v>76</v>
      </c>
      <c r="B64" s="29">
        <v>200000000</v>
      </c>
      <c r="C64" s="29">
        <v>100000000</v>
      </c>
      <c r="D64" s="29">
        <f t="shared" si="0"/>
        <v>100000000</v>
      </c>
    </row>
    <row r="65" spans="1:4" x14ac:dyDescent="0.25">
      <c r="A65" s="28" t="s">
        <v>77</v>
      </c>
      <c r="B65" s="29">
        <v>200000000</v>
      </c>
      <c r="C65" s="29">
        <v>120000000</v>
      </c>
      <c r="D65" s="29">
        <f t="shared" si="0"/>
        <v>80000000</v>
      </c>
    </row>
    <row r="66" spans="1:4" x14ac:dyDescent="0.25">
      <c r="A66" s="28" t="s">
        <v>78</v>
      </c>
      <c r="B66" s="29">
        <v>200000000</v>
      </c>
      <c r="C66" s="29">
        <v>150000000</v>
      </c>
      <c r="D66" s="29">
        <f t="shared" si="0"/>
        <v>50000000</v>
      </c>
    </row>
    <row r="67" spans="1:4" x14ac:dyDescent="0.25">
      <c r="A67" s="28" t="s">
        <v>79</v>
      </c>
      <c r="B67" s="29">
        <v>250000000</v>
      </c>
      <c r="C67" s="29">
        <v>170000000</v>
      </c>
      <c r="D67" s="29">
        <f t="shared" si="0"/>
        <v>80000000</v>
      </c>
    </row>
    <row r="68" spans="1:4" x14ac:dyDescent="0.25">
      <c r="A68" s="28" t="s">
        <v>80</v>
      </c>
      <c r="B68" s="29">
        <v>300000000</v>
      </c>
      <c r="C68" s="29">
        <v>180000000</v>
      </c>
      <c r="D68" s="29">
        <f t="shared" si="0"/>
        <v>120000000</v>
      </c>
    </row>
    <row r="69" spans="1:4" x14ac:dyDescent="0.25">
      <c r="A69" s="28" t="s">
        <v>81</v>
      </c>
      <c r="B69" s="29">
        <v>600000000</v>
      </c>
      <c r="C69" s="29">
        <v>250000000</v>
      </c>
      <c r="D69" s="29">
        <f t="shared" si="0"/>
        <v>350000000</v>
      </c>
    </row>
    <row r="70" spans="1:4" x14ac:dyDescent="0.25">
      <c r="A70" s="31" t="s">
        <v>87</v>
      </c>
      <c r="B70" s="30">
        <f>SUM(B58:B69)</f>
        <v>3768061446</v>
      </c>
      <c r="C70" s="30">
        <f t="shared" ref="C70:D70" si="1">SUM(C58:C69)</f>
        <v>2223962443</v>
      </c>
      <c r="D70" s="30">
        <f t="shared" si="1"/>
        <v>1515256643</v>
      </c>
    </row>
  </sheetData>
  <mergeCells count="1">
    <mergeCell ref="B56:D56"/>
  </mergeCells>
  <pageMargins left="0.31496062992125984" right="0.31496062992125984" top="0.15748031496062992" bottom="0.15748031496062992" header="0.31496062992125984" footer="0.31496062992125984"/>
  <pageSetup paperSize="9" scale="66" fitToHeight="0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6"/>
  <sheetViews>
    <sheetView topLeftCell="A16" workbookViewId="0">
      <selection activeCell="H23" sqref="H23"/>
    </sheetView>
  </sheetViews>
  <sheetFormatPr defaultRowHeight="15" x14ac:dyDescent="0.25"/>
  <cols>
    <col min="1" max="1" width="4.28515625" customWidth="1"/>
    <col min="2" max="2" width="21.5703125" customWidth="1"/>
    <col min="3" max="3" width="12.5703125" customWidth="1"/>
    <col min="4" max="4" width="14.7109375" style="12" customWidth="1"/>
    <col min="5" max="5" width="15.42578125" style="13" customWidth="1"/>
    <col min="6" max="6" width="12.5703125" bestFit="1" customWidth="1"/>
  </cols>
  <sheetData>
    <row r="2" spans="1:5" x14ac:dyDescent="0.25">
      <c r="A2" s="32" t="s">
        <v>88</v>
      </c>
    </row>
    <row r="4" spans="1:5" ht="38.25" customHeight="1" x14ac:dyDescent="0.25">
      <c r="A4" s="40" t="s">
        <v>89</v>
      </c>
      <c r="B4" s="40" t="s">
        <v>93</v>
      </c>
      <c r="C4" s="40" t="s">
        <v>90</v>
      </c>
      <c r="D4" s="41" t="s">
        <v>91</v>
      </c>
      <c r="E4" s="42" t="s">
        <v>148</v>
      </c>
    </row>
    <row r="5" spans="1:5" x14ac:dyDescent="0.25">
      <c r="A5" s="17">
        <v>1</v>
      </c>
      <c r="B5" s="34">
        <v>45292</v>
      </c>
      <c r="C5" s="17" t="s">
        <v>94</v>
      </c>
      <c r="D5" s="23">
        <v>37</v>
      </c>
      <c r="E5" s="18">
        <v>336828000</v>
      </c>
    </row>
    <row r="6" spans="1:5" x14ac:dyDescent="0.25">
      <c r="A6" s="17"/>
      <c r="B6" s="23"/>
      <c r="C6" s="17" t="s">
        <v>95</v>
      </c>
      <c r="D6" s="23">
        <v>3</v>
      </c>
      <c r="E6" s="18">
        <v>34570000</v>
      </c>
    </row>
    <row r="7" spans="1:5" x14ac:dyDescent="0.25">
      <c r="A7" s="17"/>
      <c r="B7" s="23"/>
      <c r="C7" s="43" t="s">
        <v>103</v>
      </c>
      <c r="D7" s="23">
        <v>1</v>
      </c>
      <c r="E7" s="35">
        <v>16875000</v>
      </c>
    </row>
    <row r="8" spans="1:5" x14ac:dyDescent="0.25">
      <c r="A8" s="17"/>
      <c r="B8" s="23"/>
      <c r="C8" s="43" t="s">
        <v>104</v>
      </c>
      <c r="D8" s="23">
        <v>1</v>
      </c>
      <c r="E8" s="35">
        <v>1970000</v>
      </c>
    </row>
    <row r="9" spans="1:5" x14ac:dyDescent="0.25">
      <c r="A9" s="17"/>
      <c r="B9" s="23"/>
      <c r="C9" s="43" t="s">
        <v>105</v>
      </c>
      <c r="D9" s="23">
        <v>1</v>
      </c>
      <c r="E9" s="35">
        <v>4680000</v>
      </c>
    </row>
    <row r="10" spans="1:5" x14ac:dyDescent="0.25">
      <c r="A10" s="17"/>
      <c r="B10" s="23"/>
      <c r="C10" s="43" t="s">
        <v>106</v>
      </c>
      <c r="D10" s="23">
        <v>1</v>
      </c>
      <c r="E10" s="38">
        <v>22575000</v>
      </c>
    </row>
    <row r="11" spans="1:5" x14ac:dyDescent="0.25">
      <c r="A11" s="17">
        <v>2</v>
      </c>
      <c r="B11" s="34">
        <v>45323</v>
      </c>
      <c r="C11" s="17" t="s">
        <v>94</v>
      </c>
      <c r="D11" s="23">
        <v>25</v>
      </c>
      <c r="E11" s="18">
        <v>310953000</v>
      </c>
    </row>
    <row r="12" spans="1:5" x14ac:dyDescent="0.25">
      <c r="A12" s="17"/>
      <c r="B12" s="23"/>
      <c r="C12" s="17" t="s">
        <v>95</v>
      </c>
      <c r="D12" s="23">
        <v>1</v>
      </c>
      <c r="E12" s="18">
        <v>1575000</v>
      </c>
    </row>
    <row r="13" spans="1:5" x14ac:dyDescent="0.25">
      <c r="A13" s="17"/>
      <c r="B13" s="23"/>
      <c r="C13" s="39" t="s">
        <v>98</v>
      </c>
      <c r="D13" s="23">
        <v>1</v>
      </c>
      <c r="E13" s="35">
        <v>1400000</v>
      </c>
    </row>
    <row r="14" spans="1:5" x14ac:dyDescent="0.25">
      <c r="A14" s="17"/>
      <c r="B14" s="23"/>
      <c r="C14" s="39" t="s">
        <v>99</v>
      </c>
      <c r="D14" s="23">
        <v>1</v>
      </c>
      <c r="E14" s="35">
        <v>20700000</v>
      </c>
    </row>
    <row r="15" spans="1:5" x14ac:dyDescent="0.25">
      <c r="A15" s="17"/>
      <c r="B15" s="23"/>
      <c r="C15" s="17" t="s">
        <v>102</v>
      </c>
      <c r="D15" s="23">
        <v>1</v>
      </c>
      <c r="E15" s="18">
        <v>2970000</v>
      </c>
    </row>
    <row r="16" spans="1:5" x14ac:dyDescent="0.25">
      <c r="A16" s="17">
        <v>3</v>
      </c>
      <c r="B16" s="34">
        <v>45352</v>
      </c>
      <c r="C16" s="17" t="s">
        <v>94</v>
      </c>
      <c r="D16" s="23">
        <v>7</v>
      </c>
      <c r="E16" s="18">
        <v>83391000</v>
      </c>
    </row>
    <row r="17" spans="1:6" x14ac:dyDescent="0.25">
      <c r="A17" s="17"/>
      <c r="B17" s="23"/>
      <c r="C17" s="17" t="s">
        <v>95</v>
      </c>
      <c r="D17" s="23">
        <v>11</v>
      </c>
      <c r="E17" s="18">
        <v>34380000</v>
      </c>
    </row>
    <row r="18" spans="1:6" x14ac:dyDescent="0.25">
      <c r="A18" s="17"/>
      <c r="B18" s="23"/>
      <c r="C18" s="39" t="s">
        <v>98</v>
      </c>
      <c r="D18" s="23">
        <v>2</v>
      </c>
      <c r="E18" s="35">
        <v>7920000</v>
      </c>
    </row>
    <row r="19" spans="1:6" x14ac:dyDescent="0.25">
      <c r="A19" s="17"/>
      <c r="B19" s="23"/>
      <c r="C19" s="39" t="s">
        <v>99</v>
      </c>
      <c r="D19" s="23">
        <v>1</v>
      </c>
      <c r="E19" s="18">
        <v>10560000</v>
      </c>
    </row>
    <row r="20" spans="1:6" x14ac:dyDescent="0.25">
      <c r="A20" s="17"/>
      <c r="B20" s="23"/>
      <c r="C20" s="17" t="s">
        <v>101</v>
      </c>
      <c r="D20" s="23">
        <v>1</v>
      </c>
      <c r="E20" s="38">
        <v>30830000</v>
      </c>
    </row>
    <row r="21" spans="1:6" x14ac:dyDescent="0.25">
      <c r="A21" s="17">
        <v>4</v>
      </c>
      <c r="B21" s="34">
        <v>45383</v>
      </c>
      <c r="C21" s="17" t="s">
        <v>94</v>
      </c>
      <c r="D21" s="23">
        <v>15</v>
      </c>
      <c r="E21" s="18">
        <v>156571000</v>
      </c>
    </row>
    <row r="22" spans="1:6" x14ac:dyDescent="0.25">
      <c r="A22" s="17"/>
      <c r="B22" s="23"/>
      <c r="C22" s="17" t="s">
        <v>95</v>
      </c>
      <c r="D22" s="23">
        <v>3</v>
      </c>
      <c r="E22" s="18">
        <v>13980000</v>
      </c>
    </row>
    <row r="23" spans="1:6" x14ac:dyDescent="0.25">
      <c r="A23" s="17"/>
      <c r="B23" s="23"/>
      <c r="C23" s="39" t="s">
        <v>98</v>
      </c>
      <c r="D23" s="23">
        <v>1</v>
      </c>
      <c r="E23" s="35">
        <v>5270000</v>
      </c>
    </row>
    <row r="24" spans="1:6" x14ac:dyDescent="0.25">
      <c r="A24" s="17"/>
      <c r="B24" s="23"/>
      <c r="C24" s="39" t="s">
        <v>99</v>
      </c>
      <c r="D24" s="23">
        <v>2</v>
      </c>
      <c r="E24" s="35">
        <v>3865000</v>
      </c>
    </row>
    <row r="25" spans="1:6" x14ac:dyDescent="0.25">
      <c r="A25" s="17"/>
      <c r="B25" s="23"/>
      <c r="C25" s="39" t="s">
        <v>100</v>
      </c>
      <c r="D25" s="23">
        <v>1</v>
      </c>
      <c r="E25" s="18">
        <v>50160000</v>
      </c>
    </row>
    <row r="28" spans="1:6" x14ac:dyDescent="0.25">
      <c r="B28" t="s">
        <v>96</v>
      </c>
    </row>
    <row r="29" spans="1:6" x14ac:dyDescent="0.25">
      <c r="B29" s="26">
        <v>2024</v>
      </c>
      <c r="C29" s="34" t="s">
        <v>109</v>
      </c>
      <c r="D29" s="34" t="s">
        <v>110</v>
      </c>
      <c r="E29" s="34" t="s">
        <v>111</v>
      </c>
      <c r="F29" s="34" t="s">
        <v>112</v>
      </c>
    </row>
    <row r="30" spans="1:6" x14ac:dyDescent="0.25">
      <c r="B30" s="17" t="s">
        <v>107</v>
      </c>
      <c r="C30" s="23">
        <v>37</v>
      </c>
      <c r="D30" s="23">
        <v>25</v>
      </c>
      <c r="E30" s="36">
        <v>7</v>
      </c>
      <c r="F30" s="23">
        <v>15</v>
      </c>
    </row>
    <row r="31" spans="1:6" x14ac:dyDescent="0.25">
      <c r="B31" s="17" t="s">
        <v>84</v>
      </c>
      <c r="C31" s="18">
        <v>336828000</v>
      </c>
      <c r="D31" s="33">
        <v>310953000</v>
      </c>
      <c r="E31" s="18">
        <v>83391000</v>
      </c>
      <c r="F31" s="18">
        <v>156571000</v>
      </c>
    </row>
    <row r="33" spans="2:6" x14ac:dyDescent="0.25">
      <c r="B33" t="s">
        <v>97</v>
      </c>
    </row>
    <row r="34" spans="2:6" x14ac:dyDescent="0.25">
      <c r="B34" s="26">
        <v>2024</v>
      </c>
      <c r="C34" s="23" t="s">
        <v>109</v>
      </c>
      <c r="D34" s="23" t="s">
        <v>110</v>
      </c>
      <c r="E34" s="23" t="s">
        <v>111</v>
      </c>
      <c r="F34" s="23" t="s">
        <v>112</v>
      </c>
    </row>
    <row r="35" spans="2:6" x14ac:dyDescent="0.25">
      <c r="B35" s="17" t="s">
        <v>107</v>
      </c>
      <c r="C35" s="23">
        <v>3</v>
      </c>
      <c r="D35" s="23">
        <v>1</v>
      </c>
      <c r="E35" s="37">
        <v>11</v>
      </c>
      <c r="F35" s="23">
        <v>3</v>
      </c>
    </row>
    <row r="36" spans="2:6" x14ac:dyDescent="0.25">
      <c r="B36" s="17" t="s">
        <v>84</v>
      </c>
      <c r="C36" s="18">
        <v>34570000</v>
      </c>
      <c r="D36" s="33">
        <v>1575000</v>
      </c>
      <c r="E36" s="18">
        <v>34380000</v>
      </c>
      <c r="F36" s="18">
        <v>13980000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8"/>
  <sheetViews>
    <sheetView workbookViewId="0">
      <selection activeCell="M8" sqref="M8"/>
    </sheetView>
  </sheetViews>
  <sheetFormatPr defaultRowHeight="15" x14ac:dyDescent="0.25"/>
  <cols>
    <col min="1" max="1" width="15.7109375" customWidth="1"/>
    <col min="2" max="13" width="10.5703125" bestFit="1" customWidth="1"/>
    <col min="14" max="14" width="11.5703125" bestFit="1" customWidth="1"/>
  </cols>
  <sheetData>
    <row r="2" spans="1:14" x14ac:dyDescent="0.25">
      <c r="A2" s="44" t="s">
        <v>117</v>
      </c>
      <c r="B2" s="44" t="s">
        <v>109</v>
      </c>
      <c r="C2" s="44" t="s">
        <v>110</v>
      </c>
      <c r="D2" s="44" t="s">
        <v>111</v>
      </c>
      <c r="E2" s="44" t="s">
        <v>112</v>
      </c>
      <c r="F2" s="44" t="s">
        <v>74</v>
      </c>
      <c r="G2" s="44" t="s">
        <v>118</v>
      </c>
      <c r="H2" s="44" t="s">
        <v>119</v>
      </c>
      <c r="I2" s="44" t="s">
        <v>120</v>
      </c>
      <c r="J2" s="44" t="s">
        <v>121</v>
      </c>
      <c r="K2" s="44" t="s">
        <v>122</v>
      </c>
      <c r="L2" s="44" t="s">
        <v>123</v>
      </c>
      <c r="M2" s="44" t="s">
        <v>124</v>
      </c>
    </row>
    <row r="3" spans="1:14" ht="20.25" customHeight="1" x14ac:dyDescent="0.25">
      <c r="A3" s="45">
        <v>2023</v>
      </c>
      <c r="B3" s="18">
        <v>1850000</v>
      </c>
      <c r="C3" s="18">
        <v>1730000</v>
      </c>
      <c r="D3" s="18">
        <v>1375000</v>
      </c>
      <c r="E3" s="18">
        <v>550000</v>
      </c>
      <c r="F3" s="18">
        <v>3875000</v>
      </c>
      <c r="G3" s="18">
        <v>5625000</v>
      </c>
      <c r="H3" s="18">
        <v>5395000</v>
      </c>
      <c r="I3" s="18">
        <v>1405000</v>
      </c>
      <c r="J3" s="18">
        <v>4625000</v>
      </c>
      <c r="K3" s="18">
        <v>1650000</v>
      </c>
      <c r="L3" s="18">
        <v>1360000</v>
      </c>
      <c r="M3" s="18">
        <v>1295000</v>
      </c>
      <c r="N3" s="4">
        <f>SUM(B3:M3)</f>
        <v>30735000</v>
      </c>
    </row>
    <row r="4" spans="1:14" ht="20.25" customHeight="1" x14ac:dyDescent="0.25">
      <c r="A4" s="45">
        <v>2024</v>
      </c>
      <c r="B4" s="18">
        <v>2325000</v>
      </c>
      <c r="C4" s="18">
        <v>6277500</v>
      </c>
      <c r="D4" s="18">
        <v>5145000</v>
      </c>
      <c r="E4" s="18">
        <v>2425000</v>
      </c>
      <c r="F4" s="18"/>
      <c r="G4" s="18"/>
      <c r="H4" s="18"/>
      <c r="I4" s="18"/>
      <c r="J4" s="18"/>
      <c r="K4" s="18"/>
      <c r="L4" s="18"/>
      <c r="M4" s="18"/>
      <c r="N4" s="4">
        <f>SUM(B4:M4)</f>
        <v>16172500</v>
      </c>
    </row>
    <row r="8" spans="1:14" x14ac:dyDescent="0.25">
      <c r="M8" s="4">
        <f>N3/12</f>
        <v>2561250</v>
      </c>
    </row>
  </sheetData>
  <pageMargins left="0.31496062992125984" right="0.31496062992125984" top="0.74803149606299213" bottom="0.74803149606299213" header="0.31496062992125984" footer="0.31496062992125984"/>
  <pageSetup paperSize="9" scale="98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"/>
  <sheetViews>
    <sheetView workbookViewId="0">
      <selection activeCell="C31" sqref="C31"/>
    </sheetView>
  </sheetViews>
  <sheetFormatPr defaultRowHeight="15" x14ac:dyDescent="0.25"/>
  <cols>
    <col min="1" max="1" width="16.140625" customWidth="1"/>
    <col min="2" max="2" width="38.28515625" customWidth="1"/>
    <col min="3" max="3" width="13.7109375" style="13" customWidth="1"/>
    <col min="5" max="5" width="26.7109375" customWidth="1"/>
    <col min="6" max="6" width="12.5703125" bestFit="1" customWidth="1"/>
  </cols>
  <sheetData>
    <row r="1" spans="1:6" x14ac:dyDescent="0.25">
      <c r="A1" s="46">
        <v>2024</v>
      </c>
    </row>
    <row r="2" spans="1:6" x14ac:dyDescent="0.25">
      <c r="A2" s="46" t="s">
        <v>136</v>
      </c>
    </row>
    <row r="3" spans="1:6" x14ac:dyDescent="0.25">
      <c r="A3" s="53" t="s">
        <v>93</v>
      </c>
      <c r="B3" s="53" t="s">
        <v>125</v>
      </c>
      <c r="C3" s="54" t="s">
        <v>92</v>
      </c>
    </row>
    <row r="4" spans="1:6" x14ac:dyDescent="0.25">
      <c r="A4" s="49" t="s">
        <v>126</v>
      </c>
      <c r="B4" s="17" t="s">
        <v>127</v>
      </c>
      <c r="C4" s="18">
        <v>23000000</v>
      </c>
    </row>
    <row r="5" spans="1:6" x14ac:dyDescent="0.25">
      <c r="A5" s="17"/>
      <c r="B5" s="17" t="s">
        <v>128</v>
      </c>
      <c r="C5" s="18">
        <v>93209700</v>
      </c>
    </row>
    <row r="6" spans="1:6" x14ac:dyDescent="0.25">
      <c r="A6" s="17"/>
      <c r="B6" s="17" t="s">
        <v>131</v>
      </c>
      <c r="C6" s="18">
        <v>344000</v>
      </c>
    </row>
    <row r="7" spans="1:6" x14ac:dyDescent="0.25">
      <c r="A7" s="49" t="s">
        <v>67</v>
      </c>
      <c r="B7" s="17" t="s">
        <v>130</v>
      </c>
      <c r="C7" s="18">
        <v>45500000</v>
      </c>
    </row>
    <row r="8" spans="1:6" x14ac:dyDescent="0.25">
      <c r="A8" s="17"/>
      <c r="B8" s="17" t="s">
        <v>128</v>
      </c>
      <c r="C8" s="18">
        <v>46835400</v>
      </c>
    </row>
    <row r="9" spans="1:6" x14ac:dyDescent="0.25">
      <c r="A9" s="17"/>
      <c r="B9" s="17" t="s">
        <v>131</v>
      </c>
      <c r="C9" s="18">
        <v>107000</v>
      </c>
    </row>
    <row r="10" spans="1:6" x14ac:dyDescent="0.25">
      <c r="A10" s="17"/>
      <c r="B10" s="17" t="s">
        <v>132</v>
      </c>
      <c r="C10" s="18">
        <v>5500000</v>
      </c>
      <c r="E10" s="2" t="s">
        <v>149</v>
      </c>
    </row>
    <row r="11" spans="1:6" x14ac:dyDescent="0.25">
      <c r="A11" s="49" t="s">
        <v>68</v>
      </c>
      <c r="B11" s="17" t="s">
        <v>133</v>
      </c>
      <c r="C11" s="18">
        <v>17000000</v>
      </c>
      <c r="E11" s="53" t="s">
        <v>125</v>
      </c>
      <c r="F11" s="53" t="s">
        <v>92</v>
      </c>
    </row>
    <row r="12" spans="1:6" x14ac:dyDescent="0.25">
      <c r="A12" s="17"/>
      <c r="B12" s="17" t="s">
        <v>128</v>
      </c>
      <c r="C12" s="18">
        <v>34794800</v>
      </c>
      <c r="E12" s="17" t="s">
        <v>142</v>
      </c>
      <c r="F12" s="55">
        <f>C4+C7+C11+C15+C25</f>
        <v>112000000</v>
      </c>
    </row>
    <row r="13" spans="1:6" x14ac:dyDescent="0.25">
      <c r="A13" s="17"/>
      <c r="B13" s="17" t="s">
        <v>131</v>
      </c>
      <c r="C13" s="18">
        <v>634000</v>
      </c>
      <c r="E13" s="17" t="s">
        <v>128</v>
      </c>
      <c r="F13" s="55">
        <f>C5+C8+C12+C16+C23</f>
        <v>228964871</v>
      </c>
    </row>
    <row r="14" spans="1:6" x14ac:dyDescent="0.25">
      <c r="A14" s="17"/>
      <c r="B14" s="17" t="s">
        <v>132</v>
      </c>
      <c r="C14" s="18">
        <v>2600000</v>
      </c>
      <c r="E14" s="17" t="s">
        <v>129</v>
      </c>
      <c r="F14" s="55">
        <f>C6+C9+C10+C13+C14</f>
        <v>9185000</v>
      </c>
    </row>
    <row r="15" spans="1:6" x14ac:dyDescent="0.25">
      <c r="A15" s="49" t="s">
        <v>134</v>
      </c>
      <c r="B15" s="17" t="s">
        <v>135</v>
      </c>
      <c r="C15" s="18">
        <v>7000000</v>
      </c>
      <c r="E15" s="49" t="s">
        <v>143</v>
      </c>
      <c r="F15" s="56">
        <f>SUM(F12:F14)</f>
        <v>350149871</v>
      </c>
    </row>
    <row r="16" spans="1:6" x14ac:dyDescent="0.25">
      <c r="A16" s="17"/>
      <c r="B16" s="17" t="s">
        <v>128</v>
      </c>
      <c r="C16" s="18">
        <v>19322920</v>
      </c>
    </row>
    <row r="17" spans="1:3" x14ac:dyDescent="0.25">
      <c r="A17" s="17"/>
      <c r="B17" s="17"/>
      <c r="C17" s="18"/>
    </row>
    <row r="18" spans="1:3" x14ac:dyDescent="0.25">
      <c r="A18" s="17"/>
      <c r="B18" s="49" t="s">
        <v>137</v>
      </c>
      <c r="C18" s="50">
        <f>SUM(C4:C17)</f>
        <v>295847820</v>
      </c>
    </row>
    <row r="20" spans="1:3" x14ac:dyDescent="0.25">
      <c r="A20" s="2" t="s">
        <v>138</v>
      </c>
    </row>
    <row r="21" spans="1:3" x14ac:dyDescent="0.25">
      <c r="A21" s="53" t="s">
        <v>93</v>
      </c>
      <c r="B21" s="53" t="s">
        <v>125</v>
      </c>
      <c r="C21" s="54" t="s">
        <v>92</v>
      </c>
    </row>
    <row r="22" spans="1:3" x14ac:dyDescent="0.25">
      <c r="A22" s="17" t="s">
        <v>66</v>
      </c>
      <c r="B22" s="17"/>
      <c r="C22" s="18">
        <v>0</v>
      </c>
    </row>
    <row r="23" spans="1:3" x14ac:dyDescent="0.25">
      <c r="A23" s="17" t="s">
        <v>67</v>
      </c>
      <c r="B23" s="17" t="s">
        <v>140</v>
      </c>
      <c r="C23" s="18">
        <v>34802051</v>
      </c>
    </row>
    <row r="24" spans="1:3" x14ac:dyDescent="0.25">
      <c r="A24" s="17" t="s">
        <v>68</v>
      </c>
      <c r="B24" s="17"/>
      <c r="C24" s="18">
        <v>0</v>
      </c>
    </row>
    <row r="25" spans="1:3" x14ac:dyDescent="0.25">
      <c r="A25" s="17" t="s">
        <v>134</v>
      </c>
      <c r="B25" s="17" t="s">
        <v>139</v>
      </c>
      <c r="C25" s="18">
        <v>19500000</v>
      </c>
    </row>
    <row r="26" spans="1:3" x14ac:dyDescent="0.25">
      <c r="A26" s="17"/>
      <c r="B26" s="51" t="s">
        <v>141</v>
      </c>
      <c r="C26" s="52">
        <f>SUM(C22:C25)</f>
        <v>54302051</v>
      </c>
    </row>
  </sheetData>
  <pageMargins left="0.7" right="0.7" top="0.75" bottom="0.75" header="0.3" footer="0.3"/>
  <pageSetup paperSize="9" scale="75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5"/>
  <sheetViews>
    <sheetView topLeftCell="A40" workbookViewId="0">
      <selection activeCell="D61" sqref="D61"/>
    </sheetView>
  </sheetViews>
  <sheetFormatPr defaultRowHeight="15" x14ac:dyDescent="0.25"/>
  <cols>
    <col min="1" max="1" width="10.7109375" bestFit="1" customWidth="1"/>
    <col min="2" max="2" width="40.85546875" customWidth="1"/>
    <col min="3" max="5" width="20.7109375" style="12" customWidth="1"/>
  </cols>
  <sheetData>
    <row r="2" spans="1:5" x14ac:dyDescent="0.25">
      <c r="A2" s="59" t="s">
        <v>152</v>
      </c>
      <c r="B2" s="59" t="s">
        <v>125</v>
      </c>
      <c r="C2" s="59" t="s">
        <v>185</v>
      </c>
      <c r="D2" s="59" t="s">
        <v>186</v>
      </c>
      <c r="E2" s="59" t="s">
        <v>151</v>
      </c>
    </row>
    <row r="3" spans="1:5" x14ac:dyDescent="0.25">
      <c r="A3" s="64">
        <v>45657</v>
      </c>
      <c r="B3" s="17" t="s">
        <v>153</v>
      </c>
      <c r="C3" s="23"/>
      <c r="D3" s="23"/>
      <c r="E3" s="33">
        <v>114077000</v>
      </c>
    </row>
    <row r="4" spans="1:5" x14ac:dyDescent="0.25">
      <c r="A4" s="64">
        <v>45297</v>
      </c>
      <c r="B4" s="61" t="s">
        <v>154</v>
      </c>
      <c r="C4" s="33">
        <v>600000</v>
      </c>
      <c r="D4" s="23"/>
      <c r="E4" s="63">
        <f>E3+C4-D4</f>
        <v>114677000</v>
      </c>
    </row>
    <row r="5" spans="1:5" ht="15.75" x14ac:dyDescent="0.25">
      <c r="A5" s="64">
        <v>45300</v>
      </c>
      <c r="B5" s="62" t="s">
        <v>155</v>
      </c>
      <c r="C5" s="33">
        <v>1500000</v>
      </c>
      <c r="D5" s="23"/>
      <c r="E5" s="63">
        <f t="shared" ref="E5:E55" si="0">E4+C5-D5</f>
        <v>116177000</v>
      </c>
    </row>
    <row r="6" spans="1:5" x14ac:dyDescent="0.25">
      <c r="A6" s="64">
        <v>45302</v>
      </c>
      <c r="B6" s="61" t="s">
        <v>156</v>
      </c>
      <c r="C6" s="33">
        <v>500000</v>
      </c>
      <c r="D6" s="23"/>
      <c r="E6" s="63">
        <f t="shared" si="0"/>
        <v>116677000</v>
      </c>
    </row>
    <row r="7" spans="1:5" ht="17.25" customHeight="1" x14ac:dyDescent="0.25">
      <c r="A7" s="64">
        <v>45313</v>
      </c>
      <c r="B7" s="61" t="s">
        <v>157</v>
      </c>
      <c r="C7" s="33">
        <v>5000000</v>
      </c>
      <c r="D7" s="23"/>
      <c r="E7" s="63">
        <f t="shared" si="0"/>
        <v>121677000</v>
      </c>
    </row>
    <row r="8" spans="1:5" x14ac:dyDescent="0.25">
      <c r="A8" s="64">
        <v>45315</v>
      </c>
      <c r="B8" s="61" t="s">
        <v>154</v>
      </c>
      <c r="C8" s="33">
        <v>100000</v>
      </c>
      <c r="D8" s="23"/>
      <c r="E8" s="63">
        <f t="shared" si="0"/>
        <v>121777000</v>
      </c>
    </row>
    <row r="9" spans="1:5" x14ac:dyDescent="0.25">
      <c r="A9" s="64">
        <v>45320</v>
      </c>
      <c r="B9" s="61" t="s">
        <v>154</v>
      </c>
      <c r="C9" s="33">
        <v>100000</v>
      </c>
      <c r="D9" s="23"/>
      <c r="E9" s="63">
        <f t="shared" si="0"/>
        <v>121877000</v>
      </c>
    </row>
    <row r="10" spans="1:5" x14ac:dyDescent="0.25">
      <c r="A10" s="60">
        <v>45329</v>
      </c>
      <c r="B10" s="61" t="s">
        <v>158</v>
      </c>
      <c r="C10" s="33">
        <v>500000</v>
      </c>
      <c r="D10" s="23"/>
      <c r="E10" s="63">
        <f t="shared" si="0"/>
        <v>122377000</v>
      </c>
    </row>
    <row r="11" spans="1:5" x14ac:dyDescent="0.25">
      <c r="A11" s="60">
        <v>45329</v>
      </c>
      <c r="B11" s="61" t="s">
        <v>159</v>
      </c>
      <c r="C11" s="33">
        <v>600000</v>
      </c>
      <c r="D11" s="23"/>
      <c r="E11" s="63">
        <f t="shared" si="0"/>
        <v>122977000</v>
      </c>
    </row>
    <row r="12" spans="1:5" x14ac:dyDescent="0.25">
      <c r="A12" s="60">
        <v>45338</v>
      </c>
      <c r="B12" s="61" t="s">
        <v>159</v>
      </c>
      <c r="C12" s="33">
        <v>100000</v>
      </c>
      <c r="D12" s="23"/>
      <c r="E12" s="63">
        <f t="shared" si="0"/>
        <v>123077000</v>
      </c>
    </row>
    <row r="13" spans="1:5" x14ac:dyDescent="0.25">
      <c r="A13" s="60">
        <v>45342</v>
      </c>
      <c r="B13" s="61" t="s">
        <v>160</v>
      </c>
      <c r="C13" s="33">
        <v>300000</v>
      </c>
      <c r="D13" s="23"/>
      <c r="E13" s="63">
        <f t="shared" si="0"/>
        <v>123377000</v>
      </c>
    </row>
    <row r="14" spans="1:5" x14ac:dyDescent="0.25">
      <c r="A14" s="60">
        <v>45360</v>
      </c>
      <c r="B14" s="61" t="s">
        <v>161</v>
      </c>
      <c r="C14" s="33">
        <v>300000</v>
      </c>
      <c r="D14" s="23"/>
      <c r="E14" s="63">
        <f t="shared" si="0"/>
        <v>123677000</v>
      </c>
    </row>
    <row r="15" spans="1:5" x14ac:dyDescent="0.25">
      <c r="A15" s="60">
        <v>45365</v>
      </c>
      <c r="B15" s="61" t="s">
        <v>162</v>
      </c>
      <c r="C15" s="33">
        <v>500000</v>
      </c>
      <c r="D15" s="23"/>
      <c r="E15" s="63">
        <f t="shared" si="0"/>
        <v>124177000</v>
      </c>
    </row>
    <row r="16" spans="1:5" x14ac:dyDescent="0.25">
      <c r="A16" s="60">
        <v>45365</v>
      </c>
      <c r="B16" s="61" t="s">
        <v>163</v>
      </c>
      <c r="C16" s="33">
        <v>500000</v>
      </c>
      <c r="D16" s="23"/>
      <c r="E16" s="63">
        <f t="shared" si="0"/>
        <v>124677000</v>
      </c>
    </row>
    <row r="17" spans="1:5" x14ac:dyDescent="0.25">
      <c r="A17" s="60">
        <v>45366</v>
      </c>
      <c r="B17" s="61" t="s">
        <v>164</v>
      </c>
      <c r="C17" s="33">
        <v>300000</v>
      </c>
      <c r="D17" s="23"/>
      <c r="E17" s="63">
        <f t="shared" si="0"/>
        <v>124977000</v>
      </c>
    </row>
    <row r="18" spans="1:5" x14ac:dyDescent="0.25">
      <c r="A18" s="60">
        <v>45366</v>
      </c>
      <c r="B18" s="61" t="s">
        <v>165</v>
      </c>
      <c r="C18" s="33">
        <v>300000</v>
      </c>
      <c r="D18" s="23"/>
      <c r="E18" s="63">
        <f t="shared" si="0"/>
        <v>125277000</v>
      </c>
    </row>
    <row r="19" spans="1:5" x14ac:dyDescent="0.25">
      <c r="A19" s="60">
        <v>45366</v>
      </c>
      <c r="B19" s="61" t="s">
        <v>166</v>
      </c>
      <c r="C19" s="33">
        <v>2000000</v>
      </c>
      <c r="D19" s="23"/>
      <c r="E19" s="63">
        <f t="shared" si="0"/>
        <v>127277000</v>
      </c>
    </row>
    <row r="20" spans="1:5" x14ac:dyDescent="0.25">
      <c r="A20" s="65">
        <v>45373</v>
      </c>
      <c r="B20" s="61" t="s">
        <v>167</v>
      </c>
      <c r="C20" s="33">
        <v>150000</v>
      </c>
      <c r="D20" s="23"/>
      <c r="E20" s="63">
        <f t="shared" si="0"/>
        <v>127427000</v>
      </c>
    </row>
    <row r="21" spans="1:5" x14ac:dyDescent="0.25">
      <c r="A21" s="60">
        <v>45378</v>
      </c>
      <c r="B21" s="66" t="s">
        <v>168</v>
      </c>
      <c r="C21" s="33">
        <v>500000</v>
      </c>
      <c r="D21" s="23"/>
      <c r="E21" s="63">
        <f t="shared" si="0"/>
        <v>127927000</v>
      </c>
    </row>
    <row r="22" spans="1:5" x14ac:dyDescent="0.25">
      <c r="A22" s="65">
        <v>45390</v>
      </c>
      <c r="B22" s="67" t="s">
        <v>169</v>
      </c>
      <c r="C22" s="33">
        <v>500000</v>
      </c>
      <c r="D22" s="23"/>
      <c r="E22" s="63">
        <f t="shared" si="0"/>
        <v>128427000</v>
      </c>
    </row>
    <row r="23" spans="1:5" x14ac:dyDescent="0.25">
      <c r="A23" s="65">
        <v>45399</v>
      </c>
      <c r="B23" s="67" t="s">
        <v>170</v>
      </c>
      <c r="C23" s="33">
        <v>500000</v>
      </c>
      <c r="D23" s="23"/>
      <c r="E23" s="63">
        <f t="shared" si="0"/>
        <v>128927000</v>
      </c>
    </row>
    <row r="24" spans="1:5" x14ac:dyDescent="0.25">
      <c r="A24" s="65">
        <v>45400</v>
      </c>
      <c r="B24" s="67" t="s">
        <v>171</v>
      </c>
      <c r="C24" s="33">
        <v>500000</v>
      </c>
      <c r="D24" s="23"/>
      <c r="E24" s="63">
        <f t="shared" si="0"/>
        <v>129427000</v>
      </c>
    </row>
    <row r="25" spans="1:5" x14ac:dyDescent="0.25">
      <c r="A25" s="65">
        <v>45407</v>
      </c>
      <c r="B25" s="68" t="s">
        <v>172</v>
      </c>
      <c r="C25" s="33">
        <v>500000</v>
      </c>
      <c r="D25" s="23"/>
      <c r="E25" s="63">
        <f t="shared" si="0"/>
        <v>129927000</v>
      </c>
    </row>
    <row r="26" spans="1:5" x14ac:dyDescent="0.25">
      <c r="A26" s="65">
        <v>45292</v>
      </c>
      <c r="B26" s="69" t="s">
        <v>173</v>
      </c>
      <c r="C26" s="23"/>
      <c r="D26" s="33">
        <v>500000</v>
      </c>
      <c r="E26" s="63">
        <f t="shared" si="0"/>
        <v>129427000</v>
      </c>
    </row>
    <row r="27" spans="1:5" x14ac:dyDescent="0.25">
      <c r="A27" s="65">
        <v>45292</v>
      </c>
      <c r="B27" s="69" t="s">
        <v>174</v>
      </c>
      <c r="C27" s="23"/>
      <c r="D27" s="33">
        <v>200000</v>
      </c>
      <c r="E27" s="63">
        <f t="shared" si="0"/>
        <v>129227000</v>
      </c>
    </row>
    <row r="28" spans="1:5" x14ac:dyDescent="0.25">
      <c r="A28" s="65">
        <v>45292</v>
      </c>
      <c r="B28" s="69" t="s">
        <v>175</v>
      </c>
      <c r="C28" s="23"/>
      <c r="D28" s="33">
        <v>1000000</v>
      </c>
      <c r="E28" s="63">
        <f t="shared" si="0"/>
        <v>128227000</v>
      </c>
    </row>
    <row r="29" spans="1:5" x14ac:dyDescent="0.25">
      <c r="A29" s="65">
        <v>45292</v>
      </c>
      <c r="B29" s="69" t="s">
        <v>176</v>
      </c>
      <c r="C29" s="23"/>
      <c r="D29" s="33">
        <v>640000</v>
      </c>
      <c r="E29" s="63">
        <f t="shared" si="0"/>
        <v>127587000</v>
      </c>
    </row>
    <row r="30" spans="1:5" x14ac:dyDescent="0.25">
      <c r="A30" s="65">
        <v>45292</v>
      </c>
      <c r="B30" s="69" t="s">
        <v>177</v>
      </c>
      <c r="C30" s="23"/>
      <c r="D30" s="33">
        <v>500000</v>
      </c>
      <c r="E30" s="63">
        <f t="shared" si="0"/>
        <v>127087000</v>
      </c>
    </row>
    <row r="31" spans="1:5" x14ac:dyDescent="0.25">
      <c r="A31" s="65">
        <v>45292</v>
      </c>
      <c r="B31" s="69" t="s">
        <v>178</v>
      </c>
      <c r="C31" s="23"/>
      <c r="D31" s="33">
        <v>300000</v>
      </c>
      <c r="E31" s="63">
        <f t="shared" si="0"/>
        <v>126787000</v>
      </c>
    </row>
    <row r="32" spans="1:5" x14ac:dyDescent="0.25">
      <c r="A32" s="65">
        <v>45323</v>
      </c>
      <c r="B32" s="69" t="s">
        <v>173</v>
      </c>
      <c r="C32" s="23"/>
      <c r="D32" s="33">
        <v>500000</v>
      </c>
      <c r="E32" s="63">
        <f t="shared" si="0"/>
        <v>126287000</v>
      </c>
    </row>
    <row r="33" spans="1:5" x14ac:dyDescent="0.25">
      <c r="A33" s="65">
        <v>45323</v>
      </c>
      <c r="B33" s="69" t="s">
        <v>179</v>
      </c>
      <c r="C33" s="23"/>
      <c r="D33" s="33">
        <v>500000</v>
      </c>
      <c r="E33" s="63">
        <f t="shared" si="0"/>
        <v>125787000</v>
      </c>
    </row>
    <row r="34" spans="1:5" x14ac:dyDescent="0.25">
      <c r="A34" s="65">
        <v>45323</v>
      </c>
      <c r="B34" s="69" t="s">
        <v>180</v>
      </c>
      <c r="C34" s="23"/>
      <c r="D34" s="33">
        <v>500000</v>
      </c>
      <c r="E34" s="63">
        <f t="shared" si="0"/>
        <v>125287000</v>
      </c>
    </row>
    <row r="35" spans="1:5" x14ac:dyDescent="0.25">
      <c r="A35" s="65">
        <v>45323</v>
      </c>
      <c r="B35" s="69" t="s">
        <v>175</v>
      </c>
      <c r="C35" s="23"/>
      <c r="D35" s="33">
        <v>500000</v>
      </c>
      <c r="E35" s="63">
        <f t="shared" si="0"/>
        <v>124787000</v>
      </c>
    </row>
    <row r="36" spans="1:5" x14ac:dyDescent="0.25">
      <c r="A36" s="65">
        <v>45323</v>
      </c>
      <c r="B36" s="69" t="s">
        <v>181</v>
      </c>
      <c r="C36" s="23"/>
      <c r="D36" s="33">
        <v>800000</v>
      </c>
      <c r="E36" s="63">
        <f t="shared" si="0"/>
        <v>123987000</v>
      </c>
    </row>
    <row r="37" spans="1:5" x14ac:dyDescent="0.25">
      <c r="A37" s="65">
        <v>45323</v>
      </c>
      <c r="B37" s="69" t="s">
        <v>177</v>
      </c>
      <c r="C37" s="23"/>
      <c r="D37" s="33">
        <v>500000</v>
      </c>
      <c r="E37" s="63">
        <f t="shared" si="0"/>
        <v>123487000</v>
      </c>
    </row>
    <row r="38" spans="1:5" x14ac:dyDescent="0.25">
      <c r="A38" s="65">
        <v>45323</v>
      </c>
      <c r="B38" s="69" t="s">
        <v>182</v>
      </c>
      <c r="C38" s="23"/>
      <c r="D38" s="33">
        <v>500000</v>
      </c>
      <c r="E38" s="63">
        <f t="shared" si="0"/>
        <v>122987000</v>
      </c>
    </row>
    <row r="39" spans="1:5" x14ac:dyDescent="0.25">
      <c r="A39" s="65">
        <v>45352</v>
      </c>
      <c r="B39" s="69" t="s">
        <v>173</v>
      </c>
      <c r="C39" s="23"/>
      <c r="D39" s="33">
        <v>500000</v>
      </c>
      <c r="E39" s="63">
        <f t="shared" si="0"/>
        <v>122487000</v>
      </c>
    </row>
    <row r="40" spans="1:5" x14ac:dyDescent="0.25">
      <c r="A40" s="65">
        <v>45352</v>
      </c>
      <c r="B40" s="69" t="s">
        <v>179</v>
      </c>
      <c r="C40" s="23"/>
      <c r="D40" s="33">
        <v>500000</v>
      </c>
      <c r="E40" s="63">
        <f t="shared" si="0"/>
        <v>121987000</v>
      </c>
    </row>
    <row r="41" spans="1:5" x14ac:dyDescent="0.25">
      <c r="A41" s="65">
        <v>45352</v>
      </c>
      <c r="B41" s="69" t="s">
        <v>180</v>
      </c>
      <c r="C41" s="23"/>
      <c r="D41" s="33">
        <v>500000</v>
      </c>
      <c r="E41" s="63">
        <f t="shared" si="0"/>
        <v>121487000</v>
      </c>
    </row>
    <row r="42" spans="1:5" x14ac:dyDescent="0.25">
      <c r="A42" s="65">
        <v>45352</v>
      </c>
      <c r="B42" s="69" t="s">
        <v>175</v>
      </c>
      <c r="C42" s="23"/>
      <c r="D42" s="33">
        <v>500000</v>
      </c>
      <c r="E42" s="63">
        <f t="shared" si="0"/>
        <v>120987000</v>
      </c>
    </row>
    <row r="43" spans="1:5" x14ac:dyDescent="0.25">
      <c r="A43" s="65">
        <v>45352</v>
      </c>
      <c r="B43" s="69" t="s">
        <v>181</v>
      </c>
      <c r="C43" s="23"/>
      <c r="D43" s="33">
        <v>700000</v>
      </c>
      <c r="E43" s="63">
        <f t="shared" si="0"/>
        <v>120287000</v>
      </c>
    </row>
    <row r="44" spans="1:5" x14ac:dyDescent="0.25">
      <c r="A44" s="65">
        <v>45352</v>
      </c>
      <c r="B44" s="69" t="s">
        <v>177</v>
      </c>
      <c r="C44" s="23"/>
      <c r="D44" s="33">
        <v>500000</v>
      </c>
      <c r="E44" s="63">
        <f t="shared" si="0"/>
        <v>119787000</v>
      </c>
    </row>
    <row r="45" spans="1:5" x14ac:dyDescent="0.25">
      <c r="A45" s="65">
        <v>45352</v>
      </c>
      <c r="B45" s="69" t="s">
        <v>178</v>
      </c>
      <c r="C45" s="23"/>
      <c r="D45" s="33">
        <v>500000</v>
      </c>
      <c r="E45" s="63">
        <f t="shared" si="0"/>
        <v>119287000</v>
      </c>
    </row>
    <row r="46" spans="1:5" x14ac:dyDescent="0.25">
      <c r="A46" s="65">
        <v>45352</v>
      </c>
      <c r="B46" s="69" t="s">
        <v>182</v>
      </c>
      <c r="C46" s="23"/>
      <c r="D46" s="33">
        <v>300000</v>
      </c>
      <c r="E46" s="63">
        <f t="shared" si="0"/>
        <v>118987000</v>
      </c>
    </row>
    <row r="47" spans="1:5" x14ac:dyDescent="0.25">
      <c r="A47" s="65">
        <v>45383</v>
      </c>
      <c r="B47" s="69" t="s">
        <v>173</v>
      </c>
      <c r="C47" s="23"/>
      <c r="D47" s="33">
        <v>500000</v>
      </c>
      <c r="E47" s="63">
        <f t="shared" si="0"/>
        <v>118487000</v>
      </c>
    </row>
    <row r="48" spans="1:5" x14ac:dyDescent="0.25">
      <c r="A48" s="65">
        <v>45383</v>
      </c>
      <c r="B48" s="69" t="s">
        <v>179</v>
      </c>
      <c r="C48" s="23"/>
      <c r="D48" s="33">
        <v>500000</v>
      </c>
      <c r="E48" s="63">
        <f t="shared" si="0"/>
        <v>117987000</v>
      </c>
    </row>
    <row r="49" spans="1:5" x14ac:dyDescent="0.25">
      <c r="A49" s="65">
        <v>45383</v>
      </c>
      <c r="B49" s="69" t="s">
        <v>180</v>
      </c>
      <c r="C49" s="23"/>
      <c r="D49" s="33">
        <v>500000</v>
      </c>
      <c r="E49" s="63">
        <f t="shared" si="0"/>
        <v>117487000</v>
      </c>
    </row>
    <row r="50" spans="1:5" x14ac:dyDescent="0.25">
      <c r="A50" s="65">
        <v>45383</v>
      </c>
      <c r="B50" s="69" t="s">
        <v>175</v>
      </c>
      <c r="C50" s="23"/>
      <c r="D50" s="33">
        <v>800000</v>
      </c>
      <c r="E50" s="63">
        <f t="shared" si="0"/>
        <v>116687000</v>
      </c>
    </row>
    <row r="51" spans="1:5" x14ac:dyDescent="0.25">
      <c r="A51" s="65">
        <v>45383</v>
      </c>
      <c r="B51" s="69" t="s">
        <v>183</v>
      </c>
      <c r="C51" s="23"/>
      <c r="D51" s="33">
        <v>500000</v>
      </c>
      <c r="E51" s="63">
        <f t="shared" si="0"/>
        <v>116187000</v>
      </c>
    </row>
    <row r="52" spans="1:5" x14ac:dyDescent="0.25">
      <c r="A52" s="65">
        <v>45383</v>
      </c>
      <c r="B52" s="69" t="s">
        <v>174</v>
      </c>
      <c r="C52" s="23"/>
      <c r="D52" s="33">
        <v>300000</v>
      </c>
      <c r="E52" s="63">
        <f t="shared" si="0"/>
        <v>115887000</v>
      </c>
    </row>
    <row r="53" spans="1:5" x14ac:dyDescent="0.25">
      <c r="A53" s="65">
        <v>45383</v>
      </c>
      <c r="B53" s="69" t="s">
        <v>182</v>
      </c>
      <c r="C53" s="23"/>
      <c r="D53" s="33">
        <v>650000</v>
      </c>
      <c r="E53" s="63">
        <f t="shared" si="0"/>
        <v>115237000</v>
      </c>
    </row>
    <row r="54" spans="1:5" x14ac:dyDescent="0.25">
      <c r="A54" s="65">
        <v>45383</v>
      </c>
      <c r="B54" s="69" t="s">
        <v>178</v>
      </c>
      <c r="C54" s="23"/>
      <c r="D54" s="33">
        <v>500000</v>
      </c>
      <c r="E54" s="63">
        <f t="shared" si="0"/>
        <v>114737000</v>
      </c>
    </row>
    <row r="55" spans="1:5" x14ac:dyDescent="0.25">
      <c r="A55" s="65">
        <v>45383</v>
      </c>
      <c r="B55" s="69" t="s">
        <v>184</v>
      </c>
      <c r="C55" s="23"/>
      <c r="D55" s="33">
        <v>300000</v>
      </c>
      <c r="E55" s="63">
        <f t="shared" si="0"/>
        <v>114437000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topLeftCell="A7" workbookViewId="0">
      <selection activeCell="K22" sqref="K22"/>
    </sheetView>
  </sheetViews>
  <sheetFormatPr defaultRowHeight="15" x14ac:dyDescent="0.25"/>
  <cols>
    <col min="1" max="1" width="9.42578125" style="70" customWidth="1"/>
    <col min="2" max="2" width="21.28515625" customWidth="1"/>
    <col min="3" max="3" width="14.28515625" style="13" customWidth="1"/>
    <col min="6" max="6" width="25.5703125" customWidth="1"/>
    <col min="7" max="7" width="10.5703125" bestFit="1" customWidth="1"/>
  </cols>
  <sheetData>
    <row r="1" spans="1:7" x14ac:dyDescent="0.25">
      <c r="A1" s="76" t="s">
        <v>199</v>
      </c>
    </row>
    <row r="3" spans="1:7" x14ac:dyDescent="0.25">
      <c r="A3" s="76" t="s">
        <v>190</v>
      </c>
      <c r="E3" s="76" t="s">
        <v>193</v>
      </c>
      <c r="G3" s="13"/>
    </row>
    <row r="4" spans="1:7" x14ac:dyDescent="0.25">
      <c r="A4" s="72" t="s">
        <v>187</v>
      </c>
      <c r="B4" s="53" t="s">
        <v>188</v>
      </c>
      <c r="C4" s="54" t="s">
        <v>189</v>
      </c>
      <c r="E4" s="72" t="s">
        <v>187</v>
      </c>
      <c r="F4" s="53" t="s">
        <v>188</v>
      </c>
      <c r="G4" s="54" t="s">
        <v>189</v>
      </c>
    </row>
    <row r="5" spans="1:7" x14ac:dyDescent="0.25">
      <c r="A5" s="71">
        <v>45312</v>
      </c>
      <c r="B5" s="17" t="s">
        <v>192</v>
      </c>
      <c r="C5" s="18">
        <v>160000</v>
      </c>
      <c r="E5" s="71">
        <v>45293</v>
      </c>
      <c r="F5" s="17" t="s">
        <v>191</v>
      </c>
      <c r="G5" s="18">
        <v>285000</v>
      </c>
    </row>
    <row r="6" spans="1:7" x14ac:dyDescent="0.25">
      <c r="A6" s="71">
        <v>45330</v>
      </c>
      <c r="B6" s="17" t="s">
        <v>192</v>
      </c>
      <c r="C6" s="18">
        <v>70000</v>
      </c>
      <c r="E6" s="71">
        <v>45313</v>
      </c>
      <c r="F6" s="17" t="s">
        <v>191</v>
      </c>
      <c r="G6" s="18">
        <v>395000</v>
      </c>
    </row>
    <row r="7" spans="1:7" x14ac:dyDescent="0.25">
      <c r="A7" s="71">
        <v>45355</v>
      </c>
      <c r="B7" s="17" t="s">
        <v>192</v>
      </c>
      <c r="C7" s="18">
        <v>80000</v>
      </c>
      <c r="E7" s="71">
        <v>45380</v>
      </c>
      <c r="F7" s="17" t="s">
        <v>194</v>
      </c>
      <c r="G7" s="18">
        <v>240000</v>
      </c>
    </row>
    <row r="8" spans="1:7" x14ac:dyDescent="0.25">
      <c r="A8" s="71">
        <v>45360</v>
      </c>
      <c r="B8" s="17" t="s">
        <v>192</v>
      </c>
      <c r="C8" s="18">
        <v>60000</v>
      </c>
      <c r="E8" s="71">
        <v>45403</v>
      </c>
      <c r="F8" s="17" t="s">
        <v>191</v>
      </c>
      <c r="G8" s="18">
        <v>217000</v>
      </c>
    </row>
    <row r="9" spans="1:7" x14ac:dyDescent="0.25">
      <c r="A9" s="71">
        <v>45403</v>
      </c>
      <c r="B9" s="17" t="s">
        <v>192</v>
      </c>
      <c r="C9" s="18">
        <v>100000</v>
      </c>
      <c r="E9" s="71">
        <v>45418</v>
      </c>
      <c r="F9" s="17" t="s">
        <v>195</v>
      </c>
      <c r="G9" s="18">
        <v>90000</v>
      </c>
    </row>
    <row r="10" spans="1:7" x14ac:dyDescent="0.25">
      <c r="A10" s="71">
        <v>45418</v>
      </c>
      <c r="B10" s="17" t="s">
        <v>192</v>
      </c>
      <c r="C10" s="18">
        <v>200000</v>
      </c>
      <c r="E10" s="71">
        <v>45421</v>
      </c>
      <c r="F10" s="17" t="s">
        <v>196</v>
      </c>
      <c r="G10" s="18">
        <v>90000</v>
      </c>
    </row>
    <row r="11" spans="1:7" x14ac:dyDescent="0.25">
      <c r="A11" s="71">
        <v>45421</v>
      </c>
      <c r="B11" s="17" t="s">
        <v>192</v>
      </c>
      <c r="C11" s="18">
        <v>220000</v>
      </c>
      <c r="E11" s="71"/>
      <c r="F11" s="17" t="s">
        <v>87</v>
      </c>
      <c r="G11" s="50">
        <f>SUM(G5:G10)</f>
        <v>1317000</v>
      </c>
    </row>
    <row r="12" spans="1:7" x14ac:dyDescent="0.25">
      <c r="A12" s="71">
        <v>45423</v>
      </c>
      <c r="B12" s="17" t="s">
        <v>192</v>
      </c>
      <c r="C12" s="18">
        <v>160000</v>
      </c>
      <c r="E12" s="73"/>
      <c r="F12" s="74"/>
      <c r="G12" s="75"/>
    </row>
    <row r="13" spans="1:7" x14ac:dyDescent="0.25">
      <c r="A13" s="71">
        <v>45427</v>
      </c>
      <c r="B13" s="17" t="s">
        <v>192</v>
      </c>
      <c r="C13" s="18">
        <v>120000</v>
      </c>
      <c r="E13" s="73"/>
      <c r="F13" s="74"/>
      <c r="G13" s="75"/>
    </row>
    <row r="14" spans="1:7" x14ac:dyDescent="0.25">
      <c r="A14" s="71">
        <v>45430</v>
      </c>
      <c r="B14" s="17" t="s">
        <v>192</v>
      </c>
      <c r="C14" s="18">
        <v>480000</v>
      </c>
      <c r="E14" s="76" t="s">
        <v>200</v>
      </c>
      <c r="G14" s="13"/>
    </row>
    <row r="15" spans="1:7" x14ac:dyDescent="0.25">
      <c r="A15" s="71">
        <v>45431</v>
      </c>
      <c r="B15" s="17" t="s">
        <v>192</v>
      </c>
      <c r="C15" s="18">
        <v>60000</v>
      </c>
      <c r="E15" s="72" t="s">
        <v>187</v>
      </c>
      <c r="F15" s="53" t="s">
        <v>188</v>
      </c>
      <c r="G15" s="54" t="s">
        <v>189</v>
      </c>
    </row>
    <row r="16" spans="1:7" x14ac:dyDescent="0.25">
      <c r="A16" s="71"/>
      <c r="B16" s="17" t="s">
        <v>87</v>
      </c>
      <c r="C16" s="50">
        <f>SUM(C5:C15)</f>
        <v>1710000</v>
      </c>
      <c r="E16" s="71">
        <v>45298</v>
      </c>
      <c r="F16" s="17" t="s">
        <v>201</v>
      </c>
      <c r="G16" s="18">
        <v>135000</v>
      </c>
    </row>
    <row r="17" spans="1:7" x14ac:dyDescent="0.25">
      <c r="E17" s="71">
        <v>45299</v>
      </c>
      <c r="F17" s="17" t="s">
        <v>202</v>
      </c>
      <c r="G17" s="18">
        <v>925000</v>
      </c>
    </row>
    <row r="18" spans="1:7" x14ac:dyDescent="0.25">
      <c r="E18" s="71">
        <v>45332</v>
      </c>
      <c r="F18" s="17" t="s">
        <v>202</v>
      </c>
      <c r="G18" s="18">
        <v>500000</v>
      </c>
    </row>
    <row r="19" spans="1:7" x14ac:dyDescent="0.25">
      <c r="A19" s="76" t="s">
        <v>197</v>
      </c>
      <c r="E19" s="71">
        <v>45351</v>
      </c>
      <c r="F19" s="17" t="s">
        <v>202</v>
      </c>
      <c r="G19" s="18">
        <v>400000</v>
      </c>
    </row>
    <row r="20" spans="1:7" x14ac:dyDescent="0.25">
      <c r="A20" s="72" t="s">
        <v>187</v>
      </c>
      <c r="B20" s="53" t="s">
        <v>188</v>
      </c>
      <c r="C20" s="54" t="s">
        <v>189</v>
      </c>
      <c r="E20" s="71">
        <v>37320</v>
      </c>
      <c r="F20" s="17" t="s">
        <v>203</v>
      </c>
      <c r="G20" s="18">
        <v>1000000</v>
      </c>
    </row>
    <row r="21" spans="1:7" x14ac:dyDescent="0.25">
      <c r="A21" s="71">
        <v>45354</v>
      </c>
      <c r="B21" s="17" t="s">
        <v>198</v>
      </c>
      <c r="C21" s="18">
        <v>255000</v>
      </c>
      <c r="E21" s="71">
        <v>45421</v>
      </c>
      <c r="F21" s="17" t="s">
        <v>202</v>
      </c>
      <c r="G21" s="18">
        <v>700000</v>
      </c>
    </row>
    <row r="22" spans="1:7" x14ac:dyDescent="0.25">
      <c r="A22" s="71">
        <v>45421</v>
      </c>
      <c r="B22" s="17" t="s">
        <v>198</v>
      </c>
      <c r="C22" s="18">
        <f>665000-90000</f>
        <v>575000</v>
      </c>
      <c r="E22" s="71"/>
      <c r="F22" s="17" t="s">
        <v>87</v>
      </c>
      <c r="G22" s="50">
        <f>SUM(G16:G21)</f>
        <v>3660000</v>
      </c>
    </row>
    <row r="23" spans="1:7" x14ac:dyDescent="0.25">
      <c r="A23" s="71">
        <v>45428</v>
      </c>
      <c r="B23" s="17" t="s">
        <v>198</v>
      </c>
      <c r="C23" s="18">
        <v>300000</v>
      </c>
    </row>
    <row r="24" spans="1:7" x14ac:dyDescent="0.25">
      <c r="A24" s="71">
        <v>45430</v>
      </c>
      <c r="B24" s="17" t="s">
        <v>198</v>
      </c>
      <c r="C24" s="18">
        <v>150000</v>
      </c>
    </row>
    <row r="25" spans="1:7" x14ac:dyDescent="0.25">
      <c r="A25" s="71"/>
      <c r="B25" s="17" t="s">
        <v>87</v>
      </c>
      <c r="C25" s="50">
        <f>SUM(C21:C24)</f>
        <v>1280000</v>
      </c>
    </row>
  </sheetData>
  <pageMargins left="0.31496062992125984" right="0.31496062992125984" top="0.74803149606299213" bottom="0.74803149606299213" header="0.31496062992125984" footer="0.31496062992125984"/>
  <pageSetup paperSize="9" scale="97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LRKom 2023</vt:lpstr>
      <vt:lpstr>LRKom 2024</vt:lpstr>
      <vt:lpstr>Compare LR 23&amp;24</vt:lpstr>
      <vt:lpstr>grafik analys</vt:lpstr>
      <vt:lpstr>comp data Sales </vt:lpstr>
      <vt:lpstr>Compare Biaya</vt:lpstr>
      <vt:lpstr>Biaya Renovasi Mushola</vt:lpstr>
      <vt:lpstr>Kasbon Karyawan</vt:lpstr>
      <vt:lpstr>biaya Sewa 2024</vt:lpstr>
      <vt:lpstr>'Biaya Renovasi Mushola'!Print_Area</vt:lpstr>
      <vt:lpstr>'comp data Sales '!Print_Area</vt:lpstr>
      <vt:lpstr>'Compare LR 23&amp;24'!Print_Area</vt:lpstr>
      <vt:lpstr>'grafik analys'!Print_Area</vt:lpstr>
      <vt:lpstr>'LRKom 2023'!Print_Area</vt:lpstr>
      <vt:lpstr>'LRKom 2024'!Print_Area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2024-06-06T07:27:35Z</cp:lastPrinted>
  <dcterms:created xsi:type="dcterms:W3CDTF">2024-04-04T05:28:10Z</dcterms:created>
  <dcterms:modified xsi:type="dcterms:W3CDTF">2024-06-06T07:29:57Z</dcterms:modified>
</cp:coreProperties>
</file>