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Баланс" sheetId="1" r:id="rId1"/>
    <sheet name="Баланс_Нетто" sheetId="2" r:id="rId2"/>
    <sheet name="Звіт_фін_рез" sheetId="3" r:id="rId3"/>
    <sheet name="Коефти" sheetId="6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D45" i="6" l="1"/>
  <c r="C45" i="6"/>
  <c r="D44" i="6"/>
  <c r="C44" i="6"/>
  <c r="D36" i="6"/>
  <c r="D29" i="6"/>
  <c r="C29" i="6"/>
  <c r="D28" i="6"/>
  <c r="C28" i="6"/>
  <c r="D27" i="6"/>
  <c r="C27" i="6"/>
  <c r="D10" i="6"/>
  <c r="C10" i="6"/>
  <c r="D9" i="6"/>
  <c r="C9" i="6"/>
  <c r="C36" i="6"/>
  <c r="D35" i="6"/>
  <c r="D3" i="6"/>
  <c r="C3" i="6"/>
  <c r="C21" i="2"/>
  <c r="C20" i="2"/>
  <c r="C11" i="2"/>
  <c r="C9" i="2"/>
  <c r="C8" i="2"/>
  <c r="C7" i="2"/>
  <c r="B21" i="2"/>
  <c r="B20" i="2"/>
  <c r="D55" i="6" s="1"/>
  <c r="B11" i="2"/>
  <c r="B10" i="2"/>
  <c r="B9" i="2"/>
  <c r="B8" i="2"/>
  <c r="B7" i="2"/>
  <c r="D50" i="6" s="1"/>
  <c r="D51" i="6" s="1"/>
  <c r="B5" i="2"/>
  <c r="D8" i="3"/>
  <c r="C46" i="6" s="1"/>
  <c r="C8" i="3"/>
  <c r="D46" i="6" s="1"/>
  <c r="D82" i="1"/>
  <c r="D38" i="6" s="1"/>
  <c r="C82" i="1"/>
  <c r="C38" i="6" s="1"/>
  <c r="D67" i="1"/>
  <c r="C18" i="2" s="1"/>
  <c r="C67" i="1"/>
  <c r="D61" i="1"/>
  <c r="C17" i="2" s="1"/>
  <c r="C61" i="1"/>
  <c r="D56" i="1"/>
  <c r="D84" i="1" s="1"/>
  <c r="D16" i="6" s="1"/>
  <c r="C56" i="1"/>
  <c r="C84" i="1" s="1"/>
  <c r="C25" i="6" s="1"/>
  <c r="D46" i="1"/>
  <c r="C46" i="1"/>
  <c r="D43" i="1"/>
  <c r="D41" i="6" s="1"/>
  <c r="C43" i="1"/>
  <c r="C41" i="6" s="1"/>
  <c r="D19" i="1"/>
  <c r="D45" i="1" s="1"/>
  <c r="C19" i="1"/>
  <c r="C45" i="1" s="1"/>
  <c r="C5" i="2"/>
  <c r="C4" i="2"/>
  <c r="C10" i="2"/>
  <c r="C13" i="6" l="1"/>
  <c r="C18" i="6"/>
  <c r="C6" i="2"/>
  <c r="D37" i="6" s="1"/>
  <c r="D53" i="6"/>
  <c r="D54" i="6" s="1"/>
  <c r="C19" i="2"/>
  <c r="D13" i="6"/>
  <c r="D15" i="6"/>
  <c r="D17" i="6"/>
  <c r="D19" i="6"/>
  <c r="D21" i="6"/>
  <c r="D32" i="6"/>
  <c r="D39" i="6"/>
  <c r="D12" i="6"/>
  <c r="D14" i="6"/>
  <c r="D18" i="6"/>
  <c r="D20" i="6"/>
  <c r="D22" i="6"/>
  <c r="D33" i="6"/>
  <c r="D42" i="6" s="1"/>
  <c r="D10" i="3"/>
  <c r="D15" i="3" s="1"/>
  <c r="C10" i="3"/>
  <c r="C15" i="3" s="1"/>
  <c r="D47" i="6"/>
  <c r="B17" i="2"/>
  <c r="B19" i="2"/>
  <c r="C16" i="2"/>
  <c r="D25" i="6"/>
  <c r="C26" i="6"/>
  <c r="D30" i="6"/>
  <c r="D34" i="6"/>
  <c r="D40" i="6"/>
  <c r="D49" i="6"/>
  <c r="B4" i="2"/>
  <c r="C8" i="6" s="1"/>
  <c r="B6" i="2"/>
  <c r="D52" i="6"/>
  <c r="B15" i="2"/>
  <c r="B18" i="2"/>
  <c r="C15" i="2"/>
  <c r="C12" i="6"/>
  <c r="C14" i="6"/>
  <c r="C15" i="6"/>
  <c r="C16" i="6"/>
  <c r="C17" i="6"/>
  <c r="C19" i="6"/>
  <c r="C20" i="6"/>
  <c r="C21" i="6"/>
  <c r="C22" i="6"/>
  <c r="D26" i="6"/>
  <c r="C30" i="6"/>
  <c r="C32" i="6"/>
  <c r="C33" i="6"/>
  <c r="C39" i="6"/>
  <c r="D8" i="6"/>
  <c r="D23" i="6"/>
  <c r="C37" i="6"/>
  <c r="C23" i="6"/>
  <c r="D56" i="6"/>
  <c r="D57" i="6" s="1"/>
  <c r="C12" i="2" l="1"/>
  <c r="C42" i="6"/>
  <c r="C40" i="6"/>
  <c r="C35" i="6"/>
  <c r="C34" i="6"/>
  <c r="B12" i="2"/>
  <c r="D48" i="6"/>
  <c r="C22" i="2"/>
  <c r="B16" i="2"/>
  <c r="B22" i="2" s="1"/>
  <c r="D7" i="6" l="1"/>
  <c r="D6" i="6"/>
  <c r="D5" i="6"/>
  <c r="C5" i="6"/>
  <c r="C7" i="6"/>
  <c r="C6" i="6"/>
</calcChain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Треба заповнити дані в 3 і 4 стовпчику.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Тут нічого вводити НЕ ПОТРІБНО.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Заповнити 3 і 4 стовпчик.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У цій таблиці розраховані фінансові коефіцієнти та показники, які найчастіше використовуються під час аналізу діяльності підприємства.</t>
        </r>
      </text>
    </comment>
  </commentList>
</comments>
</file>

<file path=xl/sharedStrings.xml><?xml version="1.0" encoding="utf-8"?>
<sst xmlns="http://schemas.openxmlformats.org/spreadsheetml/2006/main" count="285" uniqueCount="212">
  <si>
    <t>Актив</t>
  </si>
  <si>
    <t>Код рядка</t>
  </si>
  <si>
    <t>На початок звітного періоду</t>
  </si>
  <si>
    <t>На кінець звітного періоду</t>
  </si>
  <si>
    <t>І. Необоротні активи</t>
  </si>
  <si>
    <t>Нематеріальні активи</t>
  </si>
  <si>
    <t>залишкова вартість</t>
  </si>
  <si>
    <t>010</t>
  </si>
  <si>
    <t>первісна вартість</t>
  </si>
  <si>
    <t>011</t>
  </si>
  <si>
    <t>накопичена амортизація</t>
  </si>
  <si>
    <t>012</t>
  </si>
  <si>
    <t>Незавершене будівництво</t>
  </si>
  <si>
    <t>020</t>
  </si>
  <si>
    <t>Основні засоби</t>
  </si>
  <si>
    <t>030</t>
  </si>
  <si>
    <t>031</t>
  </si>
  <si>
    <t>знос</t>
  </si>
  <si>
    <t>032</t>
  </si>
  <si>
    <t>Довгострокові фінансові інвестиції</t>
  </si>
  <si>
    <t>які обліковуються за методом участі в капіталі інших підприємств</t>
  </si>
  <si>
    <t>040</t>
  </si>
  <si>
    <t>інші фінансові інвестиції</t>
  </si>
  <si>
    <t>045</t>
  </si>
  <si>
    <t>Довгострокова дебіторська заборгованість</t>
  </si>
  <si>
    <t>050</t>
  </si>
  <si>
    <t>Відстрочені податкові активи</t>
  </si>
  <si>
    <t>060</t>
  </si>
  <si>
    <t>Інші необоротні активи</t>
  </si>
  <si>
    <t>070</t>
  </si>
  <si>
    <t>Усього за розділом І</t>
  </si>
  <si>
    <t>080</t>
  </si>
  <si>
    <t>ІІ. Оборотні активи</t>
  </si>
  <si>
    <t>Запаси</t>
  </si>
  <si>
    <t>Виробничі запаси</t>
  </si>
  <si>
    <t>Поточні біологічні активи</t>
  </si>
  <si>
    <t>Незавершене виробництво</t>
  </si>
  <si>
    <t>Готова продукція</t>
  </si>
  <si>
    <t>Товари</t>
  </si>
  <si>
    <t>Векселі одержані</t>
  </si>
  <si>
    <t>Дебіторська заборгованість за товари, роботи, послуги</t>
  </si>
  <si>
    <t xml:space="preserve">  </t>
  </si>
  <si>
    <t>чиста реалізаційна вартість</t>
  </si>
  <si>
    <t>резерв сумнівних боргів</t>
  </si>
  <si>
    <t>Дебіторська заборгованість за розрахунками</t>
  </si>
  <si>
    <t>з бюджетом</t>
  </si>
  <si>
    <t>за виданими авансами</t>
  </si>
  <si>
    <t>з нарахованих доходів</t>
  </si>
  <si>
    <t>із внутрішніх розрахунків</t>
  </si>
  <si>
    <t>Інша поточна дебіторська заборгованість</t>
  </si>
  <si>
    <t>Поточні фінансові інвестиції</t>
  </si>
  <si>
    <t>Грошові кошти та їх еквіваленти</t>
  </si>
  <si>
    <t>в національній валюті</t>
  </si>
  <si>
    <t>в іноземній валюті</t>
  </si>
  <si>
    <t>Інші оборотні активи</t>
  </si>
  <si>
    <t>Усього за розділом ІІ</t>
  </si>
  <si>
    <t>ІІІ. Витрати майбутніх періодів</t>
  </si>
  <si>
    <t>Баланс</t>
  </si>
  <si>
    <t>Агрегований баланс-нетто</t>
  </si>
  <si>
    <t>АКТИВ</t>
  </si>
  <si>
    <t>Необоротні активи</t>
  </si>
  <si>
    <t xml:space="preserve">Основні засоби </t>
  </si>
  <si>
    <t>Оборотні активи</t>
  </si>
  <si>
    <t>Запаси і затрати</t>
  </si>
  <si>
    <t>Дебіторська забор-сть</t>
  </si>
  <si>
    <t>Грошові кошти</t>
  </si>
  <si>
    <t>Інші поточні зобов'язання</t>
  </si>
  <si>
    <t>Витрати майбутніх періодів</t>
  </si>
  <si>
    <t>Баланс-нетто:</t>
  </si>
  <si>
    <t>ПАСИВ</t>
  </si>
  <si>
    <t>Власний капітал</t>
  </si>
  <si>
    <t>Залучений капітал</t>
  </si>
  <si>
    <t>2</t>
  </si>
  <si>
    <t>Забезпечення наступних витрат і платежів</t>
  </si>
  <si>
    <t>3</t>
  </si>
  <si>
    <t xml:space="preserve">Довгострокові зобов'язання </t>
  </si>
  <si>
    <t>4</t>
  </si>
  <si>
    <t>Поточні зобов'язання</t>
  </si>
  <si>
    <t>в т.ч. кредиторська заборгованість</t>
  </si>
  <si>
    <t>Доходи майбутніх періодів</t>
  </si>
  <si>
    <t>Пасив</t>
  </si>
  <si>
    <t>І. Власний капітал</t>
  </si>
  <si>
    <t>Статутний капітал</t>
  </si>
  <si>
    <t>Пайовий капітал</t>
  </si>
  <si>
    <t>Додатковий вкладений капітал</t>
  </si>
  <si>
    <t>Інший додатковий капітал</t>
  </si>
  <si>
    <t>Резервний капітал</t>
  </si>
  <si>
    <t>Нерозподілений прибуток (непокритий збиток)</t>
  </si>
  <si>
    <t>Неоплачений капітал (           )</t>
  </si>
  <si>
    <t>Вилучений капітал    (           )</t>
  </si>
  <si>
    <t>ІІ. Забезпечення наступних витрат і платежів</t>
  </si>
  <si>
    <t>Забезпечення виплат персоналу</t>
  </si>
  <si>
    <t>Інші забезпечення</t>
  </si>
  <si>
    <t>Цільове фінансування</t>
  </si>
  <si>
    <t>ІІІ. Довгострокові зобов’язання</t>
  </si>
  <si>
    <t>Довгострокові кредити банків</t>
  </si>
  <si>
    <t>Інші довгострокові фінансові зобов’язання</t>
  </si>
  <si>
    <t>Відстрочені податкові зобов’язання</t>
  </si>
  <si>
    <t>Інші довгострокові зобов’язання</t>
  </si>
  <si>
    <t>Усього за розділом ІІІ</t>
  </si>
  <si>
    <t>IV. Поточні зобов’язання</t>
  </si>
  <si>
    <t>Короткострокові кредити банків</t>
  </si>
  <si>
    <t>Поточна заборгованість за довгостроковими зобов’язаннями</t>
  </si>
  <si>
    <t>Векселі видані</t>
  </si>
  <si>
    <t>Кредиторська заборгованість за товари, роботи, послуги</t>
  </si>
  <si>
    <t>Поточні зобов’язання за розрахунками</t>
  </si>
  <si>
    <t>з одержаних авансів</t>
  </si>
  <si>
    <t>з позабюджетних платежів</t>
  </si>
  <si>
    <t>зі страхування</t>
  </si>
  <si>
    <t>з оплати праці</t>
  </si>
  <si>
    <t>з учасниками</t>
  </si>
  <si>
    <t>Інші поточні зобов’язання</t>
  </si>
  <si>
    <t>Усього за розділом IV</t>
  </si>
  <si>
    <t>V. Доходи майбутніх періодів</t>
  </si>
  <si>
    <t>Звіт про фінансові результати</t>
  </si>
  <si>
    <t>СТАТТЯ ЗВІТУ</t>
  </si>
  <si>
    <t>За звітний період</t>
  </si>
  <si>
    <t>За попередній період</t>
  </si>
  <si>
    <t>Доход (виручка) від реалізації продукції</t>
  </si>
  <si>
    <t>Податок на додану вартість</t>
  </si>
  <si>
    <t>Акцизний збір</t>
  </si>
  <si>
    <t>Інші вирахування з доходу</t>
  </si>
  <si>
    <t>Чистий доход від реалізації продукції</t>
  </si>
  <si>
    <t xml:space="preserve">Собівартість реалізованої продукції </t>
  </si>
  <si>
    <t>Валовий прибуток/збиток</t>
  </si>
  <si>
    <t>Інші операційні доходи </t>
  </si>
  <si>
    <t>Адміністративні витрати </t>
  </si>
  <si>
    <t>Витрати на збут </t>
  </si>
  <si>
    <t>Інші операційні витрати </t>
  </si>
  <si>
    <t>Фін. рез-ти від операційної діяльності</t>
  </si>
  <si>
    <t>Фін. рез-ти від звичайн. діяльності до оподаткування</t>
  </si>
  <si>
    <t>Фін. рез-ти від звичайн.діяльності</t>
  </si>
  <si>
    <t>Чистий прибуток/збиток</t>
  </si>
  <si>
    <t>Чистий прибуток, що припадає на одну просту акцію, грн. </t>
  </si>
  <si>
    <t>Дивіденди на одну просту акцію, грн. </t>
  </si>
  <si>
    <t>Середньоспискова чисельність, чол.</t>
  </si>
  <si>
    <t>Ринкова вартість 1 акції, грн.</t>
  </si>
  <si>
    <t>№ п/п</t>
  </si>
  <si>
    <t>Коефіцієнт зносу основних засобів</t>
  </si>
  <si>
    <t>Коефіцієнт швидкої ліквідності</t>
  </si>
  <si>
    <t>Коефіцієнт абсолютної ліквідності</t>
  </si>
  <si>
    <t>Коефіцієнт маневреності власного капіталу</t>
  </si>
  <si>
    <t>Основні фінансові показники і коефіцієнти</t>
  </si>
  <si>
    <t>Найменування показника</t>
  </si>
  <si>
    <t>1</t>
  </si>
  <si>
    <t>Загальна сума господарських засобів, що знаходяться в розпорядженні п/ва</t>
  </si>
  <si>
    <t>Частка необоротних активів в активах</t>
  </si>
  <si>
    <t>Частка основних засобів в активах</t>
  </si>
  <si>
    <t>Частка осн. засобів в необоротн. активах</t>
  </si>
  <si>
    <t>5</t>
  </si>
  <si>
    <t>Коефіцієнт придатності</t>
  </si>
  <si>
    <t>6</t>
  </si>
  <si>
    <t>7</t>
  </si>
  <si>
    <t>8</t>
  </si>
  <si>
    <t>9</t>
  </si>
  <si>
    <t>10</t>
  </si>
  <si>
    <t>Коефіцієнт фінансової незалежності (автономії)</t>
  </si>
  <si>
    <t>Коефіцієнт концентрації залученого капіталу</t>
  </si>
  <si>
    <t>Коефіцієнт незалежності (2)</t>
  </si>
  <si>
    <t>Коефіцієнт співвідношення залученого і власного капіталу</t>
  </si>
  <si>
    <t>Коефіцієнт фінансової залежності</t>
  </si>
  <si>
    <t>Коефіцієнт структури залученого капіталу</t>
  </si>
  <si>
    <t>Коефіцієнт інвестування</t>
  </si>
  <si>
    <t>Коефіцієнт покриття запасів і затрат власними оборотними коштами</t>
  </si>
  <si>
    <t>Коефіцієнт прогнозу банкрутства</t>
  </si>
  <si>
    <t>11</t>
  </si>
  <si>
    <t>Коефіцієнт фінансової стійкості</t>
  </si>
  <si>
    <t>Співвідношення Дт- і Кт- заборгованості</t>
  </si>
  <si>
    <t>Рентабельність майна (активів)</t>
  </si>
  <si>
    <t>Рентабельність власного капіталу</t>
  </si>
  <si>
    <t>Рентабельність основних засобів</t>
  </si>
  <si>
    <t>Рентабельність продукції</t>
  </si>
  <si>
    <t>Рентабельність основної діяльності</t>
  </si>
  <si>
    <t>Період окупності власного капіталу, міс.</t>
  </si>
  <si>
    <t>Оборотний капітал</t>
  </si>
  <si>
    <t>Коефіцієнт маневреності функціонуючого капіталу</t>
  </si>
  <si>
    <t>Коефіцієнт оборотності оборотного капіталу</t>
  </si>
  <si>
    <t>Коефіцієнт покриття (загальної ліквідності)</t>
  </si>
  <si>
    <t>Частка оборотних активів в активах п/ва</t>
  </si>
  <si>
    <t>Частка власних оборотних коштів  в оборотних активах</t>
  </si>
  <si>
    <t>Частка виробничих запасів в оборотних активах</t>
  </si>
  <si>
    <t>Частка власних оборотних коштів у покритті запасів і затрат</t>
  </si>
  <si>
    <t>Виручка від реалізації</t>
  </si>
  <si>
    <t>Чистий прибуток</t>
  </si>
  <si>
    <t>Продуктивність праці, грн./чол.</t>
  </si>
  <si>
    <t>Фондовіддача</t>
  </si>
  <si>
    <t>-</t>
  </si>
  <si>
    <t>Оборотність власного капіталу</t>
  </si>
  <si>
    <t>Оборотність активів</t>
  </si>
  <si>
    <t>Оборотність запасів (оборотів)</t>
  </si>
  <si>
    <t>Період обертання запасів, днів</t>
  </si>
  <si>
    <t>Коефіцієнт погашення дебіторської заборгованості</t>
  </si>
  <si>
    <t>Оборотність дебіторської заборгованості, оборотів</t>
  </si>
  <si>
    <t>Період обертання дебіторської заборгованості, днів</t>
  </si>
  <si>
    <t>12</t>
  </si>
  <si>
    <t>Оборотність кредиторської заборгованості, днів</t>
  </si>
  <si>
    <t>13</t>
  </si>
  <si>
    <t>Тривалість операційного циклу, днів</t>
  </si>
  <si>
    <t>14</t>
  </si>
  <si>
    <t>Тривалість фінансового циклу, днів</t>
  </si>
  <si>
    <t>№ з/п</t>
  </si>
  <si>
    <t>15</t>
  </si>
  <si>
    <t>16</t>
  </si>
  <si>
    <t>17</t>
  </si>
  <si>
    <t>18</t>
  </si>
  <si>
    <t>19</t>
  </si>
  <si>
    <t>Оцінки майнового стану</t>
  </si>
  <si>
    <t>Оцінки фінансової стійкості</t>
  </si>
  <si>
    <t>Оцінки рентабельності</t>
  </si>
  <si>
    <t>Оцінки ліквідності та платоспроможності</t>
  </si>
  <si>
    <t>Оцінки ділової активності</t>
  </si>
  <si>
    <r>
      <t xml:space="preserve">Власний оборотний (функціонуючий) капітал  </t>
    </r>
    <r>
      <rPr>
        <sz val="11"/>
        <rFont val="Times New Roman Cyr"/>
        <family val="1"/>
        <charset val="204"/>
      </rPr>
      <t>(ВОК)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</si>
</sst>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0"/>
      <name val="Baltica"/>
      <charset val="204"/>
    </font>
    <font>
      <b/>
      <sz val="14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b/>
      <sz val="10"/>
      <name val="Arial Cyr"/>
      <family val="2"/>
      <charset val="204"/>
    </font>
    <font>
      <b/>
      <sz val="12"/>
      <name val="Arial Cyr"/>
      <family val="2"/>
      <charset val="204"/>
    </font>
    <font>
      <b/>
      <sz val="12"/>
      <name val="Times New Roman Cyr"/>
      <family val="1"/>
      <charset val="204"/>
    </font>
    <font>
      <sz val="10"/>
      <name val="Times New Roman Cyr"/>
      <family val="1"/>
      <charset val="204"/>
    </font>
    <font>
      <sz val="12"/>
      <name val="Times New Roman Cyr"/>
      <family val="1"/>
      <charset val="204"/>
    </font>
    <font>
      <sz val="11"/>
      <name val="Times New Roman Cyr"/>
      <family val="1"/>
      <charset val="204"/>
    </font>
    <font>
      <b/>
      <sz val="10"/>
      <name val="Times New Roman Cyr"/>
      <family val="1"/>
      <charset val="204"/>
    </font>
    <font>
      <sz val="8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Times New Roman Cyr"/>
      <charset val="204"/>
    </font>
    <font>
      <b/>
      <sz val="9"/>
      <color indexed="81"/>
      <name val="Tahoma"/>
      <family val="2"/>
      <charset val="204"/>
    </font>
    <font>
      <b/>
      <sz val="22"/>
      <color theme="0"/>
      <name val="Calibri"/>
      <family val="2"/>
      <charset val="204"/>
      <scheme val="minor"/>
    </font>
    <font>
      <b/>
      <sz val="12"/>
      <color theme="0"/>
      <name val="Times New Roman Cyr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47"/>
      </patternFill>
    </fill>
    <fill>
      <patternFill patternType="solid">
        <fgColor theme="0"/>
        <bgColor indexed="47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0" fillId="2" borderId="0" xfId="0" applyFill="1"/>
    <xf numFmtId="0" fontId="11" fillId="2" borderId="0" xfId="0" applyFont="1" applyFill="1" applyBorder="1" applyAlignment="1">
      <alignment horizontal="center" vertical="center" wrapText="1"/>
    </xf>
    <xf numFmtId="0" fontId="5" fillId="3" borderId="1" xfId="1" applyFont="1" applyFill="1" applyBorder="1" applyProtection="1"/>
    <xf numFmtId="49" fontId="4" fillId="3" borderId="1" xfId="1" applyNumberFormat="1" applyFont="1" applyFill="1" applyBorder="1" applyAlignment="1" applyProtection="1">
      <alignment horizontal="center"/>
    </xf>
    <xf numFmtId="0" fontId="4" fillId="3" borderId="1" xfId="1" applyFont="1" applyFill="1" applyBorder="1" applyAlignment="1" applyProtection="1">
      <alignment horizontal="center"/>
    </xf>
    <xf numFmtId="0" fontId="4" fillId="3" borderId="1" xfId="1" applyFont="1" applyFill="1" applyBorder="1" applyProtection="1"/>
    <xf numFmtId="0" fontId="4" fillId="3" borderId="1" xfId="1" applyFont="1" applyFill="1" applyBorder="1" applyAlignment="1" applyProtection="1">
      <alignment horizontal="left" indent="1"/>
    </xf>
    <xf numFmtId="0" fontId="4" fillId="3" borderId="1" xfId="1" applyFont="1" applyFill="1" applyBorder="1" applyAlignment="1" applyProtection="1">
      <alignment horizontal="center"/>
      <protection locked="0"/>
    </xf>
    <xf numFmtId="0" fontId="4" fillId="3" borderId="1" xfId="1" applyFont="1" applyFill="1" applyBorder="1" applyAlignment="1" applyProtection="1">
      <alignment horizontal="left" vertical="top" wrapText="1" indent="1"/>
    </xf>
    <xf numFmtId="49" fontId="4" fillId="3" borderId="1" xfId="1" applyNumberFormat="1" applyFont="1" applyFill="1" applyBorder="1" applyAlignment="1" applyProtection="1">
      <alignment horizontal="center" vertical="center"/>
    </xf>
    <xf numFmtId="0" fontId="6" fillId="3" borderId="1" xfId="1" applyFont="1" applyFill="1" applyBorder="1" applyProtection="1"/>
    <xf numFmtId="49" fontId="6" fillId="3" borderId="1" xfId="1" applyNumberFormat="1" applyFont="1" applyFill="1" applyBorder="1" applyAlignment="1" applyProtection="1">
      <alignment horizontal="center"/>
    </xf>
    <xf numFmtId="2" fontId="6" fillId="3" borderId="1" xfId="1" applyNumberFormat="1" applyFont="1" applyFill="1" applyBorder="1" applyAlignment="1" applyProtection="1">
      <alignment horizontal="center"/>
    </xf>
    <xf numFmtId="0" fontId="6" fillId="3" borderId="1" xfId="1" applyFont="1" applyFill="1" applyBorder="1" applyAlignment="1" applyProtection="1">
      <alignment horizontal="center"/>
      <protection locked="0"/>
    </xf>
    <xf numFmtId="0" fontId="7" fillId="3" borderId="1" xfId="1" applyFont="1" applyFill="1" applyBorder="1" applyProtection="1"/>
    <xf numFmtId="0" fontId="4" fillId="3" borderId="1" xfId="1" applyFont="1" applyFill="1" applyBorder="1" applyAlignment="1" applyProtection="1">
      <alignment horizontal="left" vertical="top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wrapText="1"/>
      <protection locked="0"/>
    </xf>
    <xf numFmtId="0" fontId="12" fillId="5" borderId="1" xfId="0" applyFont="1" applyFill="1" applyBorder="1" applyAlignment="1" applyProtection="1">
      <alignment horizontal="center" vertical="center"/>
    </xf>
    <xf numFmtId="0" fontId="9" fillId="5" borderId="2" xfId="0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 applyProtection="1">
      <alignment horizontal="right"/>
    </xf>
    <xf numFmtId="2" fontId="12" fillId="5" borderId="1" xfId="0" applyNumberFormat="1" applyFont="1" applyFill="1" applyBorder="1" applyProtection="1"/>
    <xf numFmtId="0" fontId="12" fillId="4" borderId="1" xfId="0" applyFont="1" applyFill="1" applyBorder="1" applyAlignment="1" applyProtection="1">
      <alignment horizontal="center" vertical="center"/>
    </xf>
    <xf numFmtId="0" fontId="9" fillId="4" borderId="2" xfId="0" applyFont="1" applyFill="1" applyBorder="1" applyAlignment="1" applyProtection="1">
      <alignment horizontal="center" vertical="center" wrapText="1"/>
    </xf>
    <xf numFmtId="0" fontId="9" fillId="4" borderId="1" xfId="0" applyFont="1" applyFill="1" applyBorder="1" applyAlignment="1" applyProtection="1">
      <alignment horizontal="center" vertical="center" wrapText="1"/>
    </xf>
    <xf numFmtId="0" fontId="12" fillId="4" borderId="1" xfId="0" applyFont="1" applyFill="1" applyBorder="1" applyAlignment="1" applyProtection="1">
      <alignment horizontal="right"/>
    </xf>
    <xf numFmtId="2" fontId="12" fillId="4" borderId="1" xfId="0" applyNumberFormat="1" applyFont="1" applyFill="1" applyBorder="1" applyProtection="1"/>
    <xf numFmtId="0" fontId="9" fillId="2" borderId="0" xfId="0" applyFont="1" applyFill="1" applyProtection="1"/>
    <xf numFmtId="0" fontId="12" fillId="2" borderId="0" xfId="0" applyFont="1" applyFill="1" applyAlignment="1" applyProtection="1">
      <alignment horizontal="right"/>
    </xf>
    <xf numFmtId="2" fontId="12" fillId="2" borderId="0" xfId="0" applyNumberFormat="1" applyFont="1" applyFill="1" applyProtection="1"/>
    <xf numFmtId="49" fontId="4" fillId="3" borderId="1" xfId="1" applyNumberFormat="1" applyFont="1" applyFill="1" applyBorder="1" applyAlignment="1" applyProtection="1">
      <alignment horizontal="center" vertical="center" wrapText="1"/>
    </xf>
    <xf numFmtId="0" fontId="11" fillId="2" borderId="0" xfId="0" applyFont="1" applyFill="1" applyProtection="1"/>
    <xf numFmtId="49" fontId="13" fillId="2" borderId="0" xfId="0" applyNumberFormat="1" applyFont="1" applyFill="1" applyBorder="1" applyAlignment="1" applyProtection="1">
      <alignment horizontal="center"/>
    </xf>
    <xf numFmtId="0" fontId="9" fillId="2" borderId="0" xfId="0" applyFont="1" applyFill="1" applyBorder="1" applyAlignment="1" applyProtection="1">
      <alignment horizontal="right"/>
    </xf>
    <xf numFmtId="0" fontId="11" fillId="2" borderId="0" xfId="0" applyFont="1" applyFill="1" applyBorder="1" applyAlignment="1" applyProtection="1">
      <alignment horizontal="center"/>
    </xf>
    <xf numFmtId="0" fontId="0" fillId="2" borderId="0" xfId="0" applyFill="1" applyBorder="1"/>
    <xf numFmtId="0" fontId="0" fillId="2" borderId="0" xfId="0" applyFill="1" applyAlignment="1">
      <alignment wrapText="1"/>
    </xf>
    <xf numFmtId="0" fontId="14" fillId="5" borderId="1" xfId="0" applyFont="1" applyFill="1" applyBorder="1" applyAlignment="1" applyProtection="1">
      <alignment horizontal="center" vertical="center" wrapText="1"/>
    </xf>
    <xf numFmtId="49" fontId="4" fillId="3" borderId="1" xfId="1" applyNumberFormat="1" applyFont="1" applyFill="1" applyBorder="1" applyAlignment="1" applyProtection="1">
      <alignment horizontal="left" vertical="center" wrapText="1"/>
    </xf>
    <xf numFmtId="0" fontId="9" fillId="2" borderId="0" xfId="0" applyFont="1" applyFill="1"/>
    <xf numFmtId="0" fontId="11" fillId="2" borderId="0" xfId="0" applyFont="1" applyFill="1"/>
    <xf numFmtId="49" fontId="11" fillId="2" borderId="0" xfId="0" applyNumberFormat="1" applyFont="1" applyFill="1" applyAlignment="1">
      <alignment horizontal="left"/>
    </xf>
    <xf numFmtId="0" fontId="11" fillId="2" borderId="0" xfId="0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right" vertical="center"/>
    </xf>
    <xf numFmtId="0" fontId="11" fillId="2" borderId="0" xfId="0" applyFont="1" applyFill="1" applyBorder="1"/>
    <xf numFmtId="0" fontId="10" fillId="6" borderId="0" xfId="0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2" fontId="19" fillId="3" borderId="1" xfId="0" applyNumberFormat="1" applyFont="1" applyFill="1" applyBorder="1" applyAlignment="1">
      <alignment horizontal="center" vertical="center"/>
    </xf>
    <xf numFmtId="1" fontId="19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  <xf numFmtId="2" fontId="20" fillId="3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 wrapText="1"/>
    </xf>
    <xf numFmtId="0" fontId="17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8" fillId="7" borderId="0" xfId="0" applyFont="1" applyFill="1" applyAlignment="1" applyProtection="1">
      <alignment horizontal="center" vertical="center"/>
    </xf>
    <xf numFmtId="0" fontId="8" fillId="7" borderId="0" xfId="0" applyFont="1" applyFill="1" applyAlignment="1" applyProtection="1">
      <alignment horizontal="center" vertical="center"/>
    </xf>
    <xf numFmtId="0" fontId="8" fillId="7" borderId="7" xfId="0" applyFont="1" applyFill="1" applyBorder="1" applyAlignment="1" applyProtection="1">
      <alignment horizontal="center" vertical="center"/>
    </xf>
    <xf numFmtId="0" fontId="18" fillId="7" borderId="1" xfId="0" applyFont="1" applyFill="1" applyBorder="1" applyAlignment="1" applyProtection="1">
      <alignment horizontal="center" vertical="center" wrapText="1"/>
    </xf>
    <xf numFmtId="0" fontId="18" fillId="7" borderId="8" xfId="0" applyFont="1" applyFill="1" applyBorder="1" applyAlignment="1" applyProtection="1">
      <alignment horizontal="center" vertical="center" wrapText="1"/>
    </xf>
    <xf numFmtId="0" fontId="18" fillId="7" borderId="6" xfId="0" applyFont="1" applyFill="1" applyBorder="1" applyAlignment="1" applyProtection="1">
      <alignment horizontal="center" vertical="center" wrapText="1"/>
    </xf>
    <xf numFmtId="0" fontId="18" fillId="7" borderId="3" xfId="0" applyFont="1" applyFill="1" applyBorder="1" applyAlignment="1" applyProtection="1">
      <alignment horizontal="center" vertical="center" wrapText="1"/>
    </xf>
    <xf numFmtId="0" fontId="18" fillId="7" borderId="9" xfId="0" applyFont="1" applyFill="1" applyBorder="1" applyAlignment="1" applyProtection="1">
      <alignment horizontal="center" vertical="center" wrapText="1"/>
    </xf>
    <xf numFmtId="0" fontId="18" fillId="7" borderId="7" xfId="0" applyFont="1" applyFill="1" applyBorder="1" applyAlignment="1" applyProtection="1">
      <alignment horizontal="center" vertical="center" wrapText="1"/>
    </xf>
    <xf numFmtId="0" fontId="18" fillId="7" borderId="10" xfId="0" applyFont="1" applyFill="1" applyBorder="1" applyAlignment="1" applyProtection="1">
      <alignment horizontal="center" vertical="center" wrapText="1"/>
    </xf>
    <xf numFmtId="0" fontId="18" fillId="7" borderId="4" xfId="0" applyFont="1" applyFill="1" applyBorder="1" applyAlignment="1" applyProtection="1">
      <alignment horizontal="center" vertical="center" wrapText="1"/>
    </xf>
    <xf numFmtId="0" fontId="18" fillId="7" borderId="5" xfId="0" applyFont="1" applyFill="1" applyBorder="1" applyAlignment="1" applyProtection="1">
      <alignment horizontal="center" vertical="center" wrapText="1"/>
    </xf>
    <xf numFmtId="0" fontId="18" fillId="7" borderId="2" xfId="0" applyFont="1" applyFill="1" applyBorder="1" applyAlignment="1" applyProtection="1">
      <alignment horizontal="center" vertical="center" wrapText="1"/>
    </xf>
  </cellXfs>
  <cellStyles count="2">
    <cellStyle name="Обычный" xfId="0" builtinId="0"/>
    <cellStyle name="Обычный_форма_баланса" xfId="1"/>
  </cellStyles>
  <dxfs count="0"/>
  <tableStyles count="0" defaultTableStyle="TableStyleMedium2" defaultPivotStyle="PivotStyleMedium9"/>
  <colors>
    <mruColors>
      <color rgb="FFCC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rg\Downloads\!Financial_ratios_www.pro-u4ot.info_fu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ланс"/>
      <sheetName val="Бал_Нетто"/>
      <sheetName val="Зв_Ф2"/>
      <sheetName val="Ф5"/>
      <sheetName val="Коеф_ДКЦПФР"/>
      <sheetName val="Коефти"/>
    </sheetNames>
    <sheetDataSet>
      <sheetData sheetId="0">
        <row r="1">
          <cell r="C1" t="str">
            <v>На початок звітного періоду</v>
          </cell>
          <cell r="D1" t="str">
            <v>На кінець звітного періоду</v>
          </cell>
        </row>
        <row r="42">
          <cell r="C42">
            <v>1135</v>
          </cell>
          <cell r="D42">
            <v>2330</v>
          </cell>
        </row>
        <row r="43">
          <cell r="C43">
            <v>100</v>
          </cell>
          <cell r="D43">
            <v>300</v>
          </cell>
        </row>
        <row r="83">
          <cell r="C83">
            <v>215</v>
          </cell>
          <cell r="D83">
            <v>535</v>
          </cell>
        </row>
        <row r="84">
          <cell r="C84">
            <v>100</v>
          </cell>
          <cell r="D84">
            <v>800</v>
          </cell>
        </row>
      </sheetData>
      <sheetData sheetId="1"/>
      <sheetData sheetId="2">
        <row r="8">
          <cell r="D8">
            <v>625</v>
          </cell>
        </row>
      </sheetData>
      <sheetData sheetId="3"/>
      <sheetData sheetId="4"/>
      <sheetData sheetId="5">
        <row r="42">
          <cell r="G42">
            <v>1110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4"/>
  <sheetViews>
    <sheetView workbookViewId="0">
      <selection activeCell="E6" sqref="E6"/>
    </sheetView>
  </sheetViews>
  <sheetFormatPr defaultRowHeight="15"/>
  <cols>
    <col min="1" max="1" width="51" style="1" bestFit="1" customWidth="1"/>
    <col min="2" max="2" width="17.140625" style="1" customWidth="1"/>
    <col min="3" max="3" width="18.42578125" style="1" customWidth="1"/>
    <col min="4" max="4" width="19.5703125" style="1" customWidth="1"/>
    <col min="5" max="16384" width="9.140625" style="1"/>
  </cols>
  <sheetData>
    <row r="1" spans="1:4" ht="36.75" customHeight="1">
      <c r="A1" s="58" t="s">
        <v>57</v>
      </c>
      <c r="B1" s="59"/>
      <c r="C1" s="59"/>
      <c r="D1" s="59"/>
    </row>
    <row r="2" spans="1:4" ht="25.5">
      <c r="A2" s="17" t="s">
        <v>0</v>
      </c>
      <c r="B2" s="18" t="s">
        <v>1</v>
      </c>
      <c r="C2" s="19" t="s">
        <v>2</v>
      </c>
      <c r="D2" s="19" t="s">
        <v>3</v>
      </c>
    </row>
    <row r="3" spans="1:4">
      <c r="A3" s="3" t="s">
        <v>4</v>
      </c>
      <c r="B3" s="4"/>
      <c r="C3" s="5"/>
      <c r="D3" s="5"/>
    </row>
    <row r="4" spans="1:4">
      <c r="A4" s="6" t="s">
        <v>5</v>
      </c>
      <c r="B4" s="4"/>
      <c r="C4" s="5"/>
      <c r="D4" s="5"/>
    </row>
    <row r="5" spans="1:4">
      <c r="A5" s="7" t="s">
        <v>6</v>
      </c>
      <c r="B5" s="4" t="s">
        <v>7</v>
      </c>
      <c r="C5" s="8"/>
      <c r="D5" s="8">
        <v>500</v>
      </c>
    </row>
    <row r="6" spans="1:4">
      <c r="A6" s="7" t="s">
        <v>8</v>
      </c>
      <c r="B6" s="4" t="s">
        <v>9</v>
      </c>
      <c r="C6" s="8"/>
      <c r="D6" s="8"/>
    </row>
    <row r="7" spans="1:4">
      <c r="A7" s="7" t="s">
        <v>10</v>
      </c>
      <c r="B7" s="4" t="s">
        <v>11</v>
      </c>
      <c r="C7" s="8"/>
      <c r="D7" s="8"/>
    </row>
    <row r="8" spans="1:4">
      <c r="A8" s="6" t="s">
        <v>12</v>
      </c>
      <c r="B8" s="4" t="s">
        <v>13</v>
      </c>
      <c r="C8" s="8"/>
      <c r="D8" s="8"/>
    </row>
    <row r="9" spans="1:4">
      <c r="A9" s="6" t="s">
        <v>14</v>
      </c>
      <c r="B9" s="4"/>
      <c r="C9" s="5"/>
      <c r="D9" s="5"/>
    </row>
    <row r="10" spans="1:4">
      <c r="A10" s="7" t="s">
        <v>6</v>
      </c>
      <c r="B10" s="4" t="s">
        <v>15</v>
      </c>
      <c r="C10" s="8">
        <v>1000</v>
      </c>
      <c r="D10" s="8">
        <v>800</v>
      </c>
    </row>
    <row r="11" spans="1:4">
      <c r="A11" s="7" t="s">
        <v>8</v>
      </c>
      <c r="B11" s="4" t="s">
        <v>16</v>
      </c>
      <c r="C11" s="8">
        <v>10000</v>
      </c>
      <c r="D11" s="8">
        <v>10000</v>
      </c>
    </row>
    <row r="12" spans="1:4">
      <c r="A12" s="7" t="s">
        <v>17</v>
      </c>
      <c r="B12" s="4" t="s">
        <v>18</v>
      </c>
      <c r="C12" s="8">
        <v>9000</v>
      </c>
      <c r="D12" s="8">
        <v>9200</v>
      </c>
    </row>
    <row r="13" spans="1:4">
      <c r="A13" s="6" t="s">
        <v>19</v>
      </c>
      <c r="B13" s="4"/>
      <c r="C13" s="5"/>
      <c r="D13" s="5"/>
    </row>
    <row r="14" spans="1:4" ht="25.5">
      <c r="A14" s="9" t="s">
        <v>20</v>
      </c>
      <c r="B14" s="10" t="s">
        <v>21</v>
      </c>
      <c r="C14" s="8"/>
      <c r="D14" s="8"/>
    </row>
    <row r="15" spans="1:4">
      <c r="A15" s="7" t="s">
        <v>22</v>
      </c>
      <c r="B15" s="4" t="s">
        <v>23</v>
      </c>
      <c r="C15" s="8"/>
      <c r="D15" s="8"/>
    </row>
    <row r="16" spans="1:4">
      <c r="A16" s="6" t="s">
        <v>24</v>
      </c>
      <c r="B16" s="4" t="s">
        <v>25</v>
      </c>
      <c r="C16" s="8">
        <v>300</v>
      </c>
      <c r="D16" s="8">
        <v>300</v>
      </c>
    </row>
    <row r="17" spans="1:4">
      <c r="A17" s="6" t="s">
        <v>26</v>
      </c>
      <c r="B17" s="4" t="s">
        <v>27</v>
      </c>
      <c r="C17" s="8"/>
      <c r="D17" s="8"/>
    </row>
    <row r="18" spans="1:4">
      <c r="A18" s="6" t="s">
        <v>28</v>
      </c>
      <c r="B18" s="4" t="s">
        <v>29</v>
      </c>
      <c r="C18" s="8"/>
      <c r="D18" s="8"/>
    </row>
    <row r="19" spans="1:4">
      <c r="A19" s="11" t="s">
        <v>30</v>
      </c>
      <c r="B19" s="12" t="s">
        <v>31</v>
      </c>
      <c r="C19" s="13">
        <f>SUM(C5,C8,C10,C14,C15,C16,C17,C18)</f>
        <v>1300</v>
      </c>
      <c r="D19" s="13">
        <f>SUM(D5,D8,D10,D14,D15,D16,D17,D18)</f>
        <v>1600</v>
      </c>
    </row>
    <row r="20" spans="1:4">
      <c r="A20" s="3" t="s">
        <v>32</v>
      </c>
      <c r="B20" s="4"/>
      <c r="C20" s="5"/>
      <c r="D20" s="5"/>
    </row>
    <row r="21" spans="1:4">
      <c r="A21" s="6" t="s">
        <v>33</v>
      </c>
      <c r="B21" s="4"/>
      <c r="C21" s="5"/>
      <c r="D21" s="5"/>
    </row>
    <row r="22" spans="1:4">
      <c r="A22" s="6" t="s">
        <v>34</v>
      </c>
      <c r="B22" s="4">
        <v>100</v>
      </c>
      <c r="C22" s="8">
        <v>100</v>
      </c>
      <c r="D22" s="8">
        <v>300</v>
      </c>
    </row>
    <row r="23" spans="1:4">
      <c r="A23" s="6" t="s">
        <v>35</v>
      </c>
      <c r="B23" s="4">
        <v>110</v>
      </c>
      <c r="C23" s="8"/>
      <c r="D23" s="8"/>
    </row>
    <row r="24" spans="1:4">
      <c r="A24" s="6" t="s">
        <v>36</v>
      </c>
      <c r="B24" s="4">
        <v>120</v>
      </c>
      <c r="C24" s="8">
        <v>40</v>
      </c>
      <c r="D24" s="8">
        <v>100</v>
      </c>
    </row>
    <row r="25" spans="1:4">
      <c r="A25" s="6" t="s">
        <v>37</v>
      </c>
      <c r="B25" s="4">
        <v>130</v>
      </c>
      <c r="C25" s="8"/>
      <c r="D25" s="8"/>
    </row>
    <row r="26" spans="1:4">
      <c r="A26" s="6" t="s">
        <v>38</v>
      </c>
      <c r="B26" s="4">
        <v>140</v>
      </c>
      <c r="C26" s="8"/>
      <c r="D26" s="8"/>
    </row>
    <row r="27" spans="1:4">
      <c r="A27" s="6" t="s">
        <v>39</v>
      </c>
      <c r="B27" s="4">
        <v>150</v>
      </c>
      <c r="C27" s="8">
        <v>70</v>
      </c>
      <c r="D27" s="8">
        <v>90</v>
      </c>
    </row>
    <row r="28" spans="1:4">
      <c r="A28" s="6" t="s">
        <v>40</v>
      </c>
      <c r="B28" s="4" t="s">
        <v>41</v>
      </c>
      <c r="C28" s="5"/>
      <c r="D28" s="5"/>
    </row>
    <row r="29" spans="1:4">
      <c r="A29" s="7" t="s">
        <v>42</v>
      </c>
      <c r="B29" s="4">
        <v>160</v>
      </c>
      <c r="C29" s="8">
        <v>0</v>
      </c>
      <c r="D29" s="8">
        <v>800</v>
      </c>
    </row>
    <row r="30" spans="1:4">
      <c r="A30" s="7" t="s">
        <v>8</v>
      </c>
      <c r="B30" s="4">
        <v>161</v>
      </c>
      <c r="C30" s="8"/>
      <c r="D30" s="8"/>
    </row>
    <row r="31" spans="1:4">
      <c r="A31" s="7" t="s">
        <v>43</v>
      </c>
      <c r="B31" s="4">
        <v>162</v>
      </c>
      <c r="C31" s="8">
        <v>0</v>
      </c>
      <c r="D31" s="8"/>
    </row>
    <row r="32" spans="1:4">
      <c r="A32" s="6" t="s">
        <v>44</v>
      </c>
      <c r="B32" s="4"/>
      <c r="C32" s="5"/>
      <c r="D32" s="5"/>
    </row>
    <row r="33" spans="1:4">
      <c r="A33" s="7" t="s">
        <v>45</v>
      </c>
      <c r="B33" s="4">
        <v>170</v>
      </c>
      <c r="C33" s="8">
        <v>700</v>
      </c>
      <c r="D33" s="8">
        <v>850</v>
      </c>
    </row>
    <row r="34" spans="1:4">
      <c r="A34" s="7" t="s">
        <v>46</v>
      </c>
      <c r="B34" s="4">
        <v>180</v>
      </c>
      <c r="C34" s="8">
        <v>0</v>
      </c>
      <c r="D34" s="8"/>
    </row>
    <row r="35" spans="1:4">
      <c r="A35" s="7" t="s">
        <v>47</v>
      </c>
      <c r="B35" s="4">
        <v>190</v>
      </c>
      <c r="C35" s="8">
        <v>30</v>
      </c>
      <c r="D35" s="8">
        <v>10</v>
      </c>
    </row>
    <row r="36" spans="1:4">
      <c r="A36" s="7" t="s">
        <v>48</v>
      </c>
      <c r="B36" s="4">
        <v>200</v>
      </c>
      <c r="C36" s="8">
        <v>10</v>
      </c>
      <c r="D36" s="8"/>
    </row>
    <row r="37" spans="1:4">
      <c r="A37" s="6" t="s">
        <v>49</v>
      </c>
      <c r="B37" s="4">
        <v>210</v>
      </c>
      <c r="C37" s="8">
        <v>35</v>
      </c>
      <c r="D37" s="8">
        <v>30</v>
      </c>
    </row>
    <row r="38" spans="1:4">
      <c r="A38" s="6" t="s">
        <v>50</v>
      </c>
      <c r="B38" s="4">
        <v>220</v>
      </c>
      <c r="C38" s="8"/>
      <c r="D38" s="8"/>
    </row>
    <row r="39" spans="1:4">
      <c r="A39" s="6" t="s">
        <v>51</v>
      </c>
      <c r="B39" s="4"/>
      <c r="C39" s="5"/>
      <c r="D39" s="5"/>
    </row>
    <row r="40" spans="1:4">
      <c r="A40" s="7" t="s">
        <v>52</v>
      </c>
      <c r="B40" s="4">
        <v>230</v>
      </c>
      <c r="C40" s="8">
        <v>100</v>
      </c>
      <c r="D40" s="8">
        <v>150</v>
      </c>
    </row>
    <row r="41" spans="1:4">
      <c r="A41" s="7" t="s">
        <v>53</v>
      </c>
      <c r="B41" s="4">
        <v>240</v>
      </c>
      <c r="C41" s="8">
        <v>50</v>
      </c>
      <c r="D41" s="8"/>
    </row>
    <row r="42" spans="1:4">
      <c r="A42" s="6" t="s">
        <v>54</v>
      </c>
      <c r="B42" s="4">
        <v>250</v>
      </c>
      <c r="C42" s="8"/>
      <c r="D42" s="8"/>
    </row>
    <row r="43" spans="1:4">
      <c r="A43" s="11" t="s">
        <v>55</v>
      </c>
      <c r="B43" s="12">
        <v>260</v>
      </c>
      <c r="C43" s="13">
        <f>SUM(C22,C23,C24,C25,C26,C27,C29,C33,C34,C35,C36,C37,C38,C40,C41,C42)</f>
        <v>1135</v>
      </c>
      <c r="D43" s="13">
        <f>SUM(D22,D23,D24,D25,D26,D27,D29,D33,D34,D35,D36,D37,D38,D40,D41,D42)</f>
        <v>2330</v>
      </c>
    </row>
    <row r="44" spans="1:4">
      <c r="A44" s="11" t="s">
        <v>56</v>
      </c>
      <c r="B44" s="12">
        <v>270</v>
      </c>
      <c r="C44" s="14">
        <v>100</v>
      </c>
      <c r="D44" s="14">
        <v>300</v>
      </c>
    </row>
    <row r="45" spans="1:4" ht="15.75">
      <c r="A45" s="15" t="s">
        <v>57</v>
      </c>
      <c r="B45" s="4">
        <v>280</v>
      </c>
      <c r="C45" s="13">
        <f>SUM(C19,C43,C44)</f>
        <v>2535</v>
      </c>
      <c r="D45" s="13">
        <f>SUM(D19,D43,D44)</f>
        <v>4230</v>
      </c>
    </row>
    <row r="46" spans="1:4" ht="25.5">
      <c r="A46" s="17" t="s">
        <v>80</v>
      </c>
      <c r="B46" s="18" t="s">
        <v>1</v>
      </c>
      <c r="C46" s="18" t="str">
        <f>C2</f>
        <v>На початок звітного періоду</v>
      </c>
      <c r="D46" s="18" t="str">
        <f>D2</f>
        <v>На кінець звітного періоду</v>
      </c>
    </row>
    <row r="47" spans="1:4">
      <c r="A47" s="3" t="s">
        <v>81</v>
      </c>
      <c r="B47" s="4"/>
      <c r="C47" s="5"/>
      <c r="D47" s="5"/>
    </row>
    <row r="48" spans="1:4">
      <c r="A48" s="6" t="s">
        <v>82</v>
      </c>
      <c r="B48" s="4">
        <v>300</v>
      </c>
      <c r="C48" s="8">
        <v>600</v>
      </c>
      <c r="D48" s="8">
        <v>600</v>
      </c>
    </row>
    <row r="49" spans="1:4">
      <c r="A49" s="6" t="s">
        <v>83</v>
      </c>
      <c r="B49" s="4">
        <v>310</v>
      </c>
      <c r="C49" s="8"/>
      <c r="D49" s="8"/>
    </row>
    <row r="50" spans="1:4">
      <c r="A50" s="6" t="s">
        <v>84</v>
      </c>
      <c r="B50" s="4">
        <v>320</v>
      </c>
      <c r="C50" s="8"/>
      <c r="D50" s="8">
        <v>100</v>
      </c>
    </row>
    <row r="51" spans="1:4">
      <c r="A51" s="6" t="s">
        <v>85</v>
      </c>
      <c r="B51" s="4">
        <v>330</v>
      </c>
      <c r="C51" s="8">
        <v>50</v>
      </c>
      <c r="D51" s="8">
        <v>400</v>
      </c>
    </row>
    <row r="52" spans="1:4">
      <c r="A52" s="6" t="s">
        <v>86</v>
      </c>
      <c r="B52" s="4">
        <v>340</v>
      </c>
      <c r="C52" s="8"/>
      <c r="D52" s="8"/>
    </row>
    <row r="53" spans="1:4">
      <c r="A53" s="6" t="s">
        <v>87</v>
      </c>
      <c r="B53" s="4">
        <v>350</v>
      </c>
      <c r="C53" s="8">
        <v>900</v>
      </c>
      <c r="D53" s="8">
        <v>900</v>
      </c>
    </row>
    <row r="54" spans="1:4">
      <c r="A54" s="6" t="s">
        <v>88</v>
      </c>
      <c r="B54" s="4">
        <v>360</v>
      </c>
      <c r="C54" s="8"/>
      <c r="D54" s="8"/>
    </row>
    <row r="55" spans="1:4">
      <c r="A55" s="6" t="s">
        <v>89</v>
      </c>
      <c r="B55" s="4">
        <v>370</v>
      </c>
      <c r="C55" s="8"/>
      <c r="D55" s="8"/>
    </row>
    <row r="56" spans="1:4">
      <c r="A56" s="11" t="s">
        <v>30</v>
      </c>
      <c r="B56" s="12">
        <v>380</v>
      </c>
      <c r="C56" s="13">
        <f>SUM(C48:C53)-C54-C55</f>
        <v>1550</v>
      </c>
      <c r="D56" s="13">
        <f>SUM(D48:D53)-D54-D55</f>
        <v>2000</v>
      </c>
    </row>
    <row r="57" spans="1:4">
      <c r="A57" s="3" t="s">
        <v>90</v>
      </c>
      <c r="B57" s="4"/>
      <c r="C57" s="5"/>
      <c r="D57" s="5"/>
    </row>
    <row r="58" spans="1:4">
      <c r="A58" s="6" t="s">
        <v>91</v>
      </c>
      <c r="B58" s="4">
        <v>400</v>
      </c>
      <c r="C58" s="8">
        <v>70</v>
      </c>
      <c r="D58" s="8">
        <v>85</v>
      </c>
    </row>
    <row r="59" spans="1:4">
      <c r="A59" s="6" t="s">
        <v>92</v>
      </c>
      <c r="B59" s="4">
        <v>410</v>
      </c>
      <c r="C59" s="8"/>
      <c r="D59" s="8"/>
    </row>
    <row r="60" spans="1:4">
      <c r="A60" s="6" t="s">
        <v>93</v>
      </c>
      <c r="B60" s="4">
        <v>420</v>
      </c>
      <c r="C60" s="8">
        <v>100</v>
      </c>
      <c r="D60" s="8">
        <v>100</v>
      </c>
    </row>
    <row r="61" spans="1:4">
      <c r="A61" s="11" t="s">
        <v>55</v>
      </c>
      <c r="B61" s="12">
        <v>430</v>
      </c>
      <c r="C61" s="13">
        <f>SUM(C58:C60)</f>
        <v>170</v>
      </c>
      <c r="D61" s="13">
        <f>SUM(D58:D60)</f>
        <v>185</v>
      </c>
    </row>
    <row r="62" spans="1:4">
      <c r="A62" s="3" t="s">
        <v>94</v>
      </c>
      <c r="B62" s="4"/>
      <c r="C62" s="5"/>
      <c r="D62" s="5"/>
    </row>
    <row r="63" spans="1:4">
      <c r="A63" s="6" t="s">
        <v>95</v>
      </c>
      <c r="B63" s="4">
        <v>440</v>
      </c>
      <c r="C63" s="8">
        <v>500</v>
      </c>
      <c r="D63" s="8">
        <v>500</v>
      </c>
    </row>
    <row r="64" spans="1:4">
      <c r="A64" s="6" t="s">
        <v>96</v>
      </c>
      <c r="B64" s="4">
        <v>450</v>
      </c>
      <c r="C64" s="8"/>
      <c r="D64" s="8"/>
    </row>
    <row r="65" spans="1:4">
      <c r="A65" s="6" t="s">
        <v>97</v>
      </c>
      <c r="B65" s="4">
        <v>460</v>
      </c>
      <c r="C65" s="8"/>
      <c r="D65" s="8">
        <v>210</v>
      </c>
    </row>
    <row r="66" spans="1:4">
      <c r="A66" s="6" t="s">
        <v>98</v>
      </c>
      <c r="B66" s="4">
        <v>470</v>
      </c>
      <c r="C66" s="8"/>
      <c r="D66" s="8"/>
    </row>
    <row r="67" spans="1:4">
      <c r="A67" s="11" t="s">
        <v>99</v>
      </c>
      <c r="B67" s="12">
        <v>480</v>
      </c>
      <c r="C67" s="13">
        <f>SUM(C63:C66)</f>
        <v>500</v>
      </c>
      <c r="D67" s="13">
        <f>SUM(D63:D66)</f>
        <v>710</v>
      </c>
    </row>
    <row r="68" spans="1:4">
      <c r="A68" s="3" t="s">
        <v>100</v>
      </c>
      <c r="B68" s="4"/>
      <c r="C68" s="5"/>
      <c r="D68" s="5"/>
    </row>
    <row r="69" spans="1:4">
      <c r="A69" s="6" t="s">
        <v>101</v>
      </c>
      <c r="B69" s="4">
        <v>500</v>
      </c>
      <c r="C69" s="8">
        <v>40</v>
      </c>
      <c r="D69" s="8">
        <v>20</v>
      </c>
    </row>
    <row r="70" spans="1:4" ht="25.5">
      <c r="A70" s="16" t="s">
        <v>102</v>
      </c>
      <c r="B70" s="10">
        <v>510</v>
      </c>
      <c r="C70" s="8"/>
      <c r="D70" s="8">
        <v>80</v>
      </c>
    </row>
    <row r="71" spans="1:4">
      <c r="A71" s="6" t="s">
        <v>103</v>
      </c>
      <c r="B71" s="4">
        <v>520</v>
      </c>
      <c r="C71" s="8"/>
      <c r="D71" s="8"/>
    </row>
    <row r="72" spans="1:4">
      <c r="A72" s="6" t="s">
        <v>104</v>
      </c>
      <c r="B72" s="4">
        <v>530</v>
      </c>
      <c r="C72" s="8"/>
      <c r="D72" s="8">
        <v>150</v>
      </c>
    </row>
    <row r="73" spans="1:4">
      <c r="A73" s="6" t="s">
        <v>105</v>
      </c>
      <c r="B73" s="4"/>
      <c r="C73" s="5"/>
      <c r="D73" s="5"/>
    </row>
    <row r="74" spans="1:4">
      <c r="A74" s="7" t="s">
        <v>106</v>
      </c>
      <c r="B74" s="4">
        <v>540</v>
      </c>
      <c r="C74" s="8">
        <v>75</v>
      </c>
      <c r="D74" s="8"/>
    </row>
    <row r="75" spans="1:4">
      <c r="A75" s="7" t="s">
        <v>45</v>
      </c>
      <c r="B75" s="4">
        <v>550</v>
      </c>
      <c r="C75" s="8"/>
      <c r="D75" s="8">
        <v>140</v>
      </c>
    </row>
    <row r="76" spans="1:4">
      <c r="A76" s="7" t="s">
        <v>107</v>
      </c>
      <c r="B76" s="4">
        <v>560</v>
      </c>
      <c r="C76" s="8"/>
      <c r="D76" s="8"/>
    </row>
    <row r="77" spans="1:4">
      <c r="A77" s="7" t="s">
        <v>108</v>
      </c>
      <c r="B77" s="4">
        <v>570</v>
      </c>
      <c r="C77" s="8"/>
      <c r="D77" s="8">
        <v>50</v>
      </c>
    </row>
    <row r="78" spans="1:4">
      <c r="A78" s="7" t="s">
        <v>109</v>
      </c>
      <c r="B78" s="4">
        <v>580</v>
      </c>
      <c r="C78" s="8"/>
      <c r="D78" s="8"/>
    </row>
    <row r="79" spans="1:4">
      <c r="A79" s="7" t="s">
        <v>110</v>
      </c>
      <c r="B79" s="4">
        <v>590</v>
      </c>
      <c r="C79" s="8">
        <v>100</v>
      </c>
      <c r="D79" s="8">
        <v>50</v>
      </c>
    </row>
    <row r="80" spans="1:4">
      <c r="A80" s="7" t="s">
        <v>48</v>
      </c>
      <c r="B80" s="4">
        <v>600</v>
      </c>
      <c r="C80" s="8"/>
      <c r="D80" s="8">
        <v>45</v>
      </c>
    </row>
    <row r="81" spans="1:4">
      <c r="A81" s="6" t="s">
        <v>111</v>
      </c>
      <c r="B81" s="4">
        <v>610</v>
      </c>
      <c r="C81" s="8"/>
      <c r="D81" s="8"/>
    </row>
    <row r="82" spans="1:4">
      <c r="A82" s="11" t="s">
        <v>112</v>
      </c>
      <c r="B82" s="12">
        <v>620</v>
      </c>
      <c r="C82" s="13">
        <f>SUM(C69,C70,C71,C72,C74,C75,C76,C77,C78,C79,C80,C81)</f>
        <v>215</v>
      </c>
      <c r="D82" s="13">
        <f>SUM(D69,D70,D71,D72,D74,D75,D76,D77,D78,D79,D80,D81)</f>
        <v>535</v>
      </c>
    </row>
    <row r="83" spans="1:4">
      <c r="A83" s="11" t="s">
        <v>113</v>
      </c>
      <c r="B83" s="12">
        <v>630</v>
      </c>
      <c r="C83" s="14">
        <v>100</v>
      </c>
      <c r="D83" s="14">
        <v>800</v>
      </c>
    </row>
    <row r="84" spans="1:4" ht="15.75">
      <c r="A84" s="15" t="s">
        <v>57</v>
      </c>
      <c r="B84" s="12">
        <v>640</v>
      </c>
      <c r="C84" s="13">
        <f>SUM(C56,C61,C67,C82,C83)</f>
        <v>2535</v>
      </c>
      <c r="D84" s="13">
        <f>SUM(D56,D61,D67,D82,D83)</f>
        <v>4230</v>
      </c>
    </row>
  </sheetData>
  <sheetProtection sheet="1" objects="1" scenarios="1"/>
  <mergeCells count="1">
    <mergeCell ref="A1:D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5"/>
  <cols>
    <col min="1" max="1" width="29" style="1" bestFit="1" customWidth="1"/>
    <col min="2" max="2" width="16.42578125" style="1" customWidth="1"/>
    <col min="3" max="3" width="17.140625" style="1" customWidth="1"/>
    <col min="4" max="16384" width="9.140625" style="1"/>
  </cols>
  <sheetData>
    <row r="1" spans="1:5" ht="15.75" customHeight="1">
      <c r="A1" s="60" t="s">
        <v>58</v>
      </c>
      <c r="B1" s="61"/>
      <c r="C1" s="61"/>
      <c r="D1" s="30"/>
      <c r="E1" s="30"/>
    </row>
    <row r="2" spans="1:5" ht="15.75" customHeight="1">
      <c r="A2" s="62"/>
      <c r="B2" s="62"/>
      <c r="C2" s="62"/>
      <c r="D2" s="30"/>
      <c r="E2" s="30"/>
    </row>
    <row r="3" spans="1:5" ht="25.5">
      <c r="A3" s="20" t="s">
        <v>59</v>
      </c>
      <c r="B3" s="21" t="s">
        <v>2</v>
      </c>
      <c r="C3" s="22" t="s">
        <v>3</v>
      </c>
    </row>
    <row r="4" spans="1:5">
      <c r="A4" s="4" t="s">
        <v>60</v>
      </c>
      <c r="B4" s="4">
        <f>Баланс!C19</f>
        <v>1300</v>
      </c>
      <c r="C4" s="4">
        <f>Баланс!D19</f>
        <v>1600</v>
      </c>
    </row>
    <row r="5" spans="1:5">
      <c r="A5" s="4" t="s">
        <v>61</v>
      </c>
      <c r="B5" s="4">
        <f>Баланс!C10</f>
        <v>1000</v>
      </c>
      <c r="C5" s="4">
        <f>Баланс!D10</f>
        <v>800</v>
      </c>
    </row>
    <row r="6" spans="1:5">
      <c r="A6" s="4" t="s">
        <v>62</v>
      </c>
      <c r="B6" s="4">
        <f>Баланс!C43</f>
        <v>1135</v>
      </c>
      <c r="C6" s="4">
        <f>Баланс!D43</f>
        <v>2330</v>
      </c>
    </row>
    <row r="7" spans="1:5">
      <c r="A7" s="4" t="s">
        <v>63</v>
      </c>
      <c r="B7" s="4">
        <f>Баланс!C22+Баланс!C23+Баланс!C24+Баланс!C25+Баланс!C26</f>
        <v>140</v>
      </c>
      <c r="C7" s="4">
        <f>Баланс!D22+Баланс!D23+Баланс!D24+Баланс!D25+Баланс!D26</f>
        <v>400</v>
      </c>
    </row>
    <row r="8" spans="1:5">
      <c r="A8" s="4" t="s">
        <v>64</v>
      </c>
      <c r="B8" s="4">
        <f>SUM(Баланс!C27,Баланс!C29,Баланс!C33,Баланс!C34,Баланс!C35,Баланс!C36,Баланс!C37)</f>
        <v>845</v>
      </c>
      <c r="C8" s="4">
        <f>SUM(Баланс!D27,Баланс!D29,Баланс!D33,Баланс!D34,Баланс!D35,Баланс!D36,Баланс!D37)</f>
        <v>1780</v>
      </c>
    </row>
    <row r="9" spans="1:5">
      <c r="A9" s="4" t="s">
        <v>65</v>
      </c>
      <c r="B9" s="4">
        <f>Баланс!C40+Баланс!C41</f>
        <v>150</v>
      </c>
      <c r="C9" s="4">
        <f>Баланс!D40+Баланс!D41</f>
        <v>150</v>
      </c>
    </row>
    <row r="10" spans="1:5">
      <c r="A10" s="4" t="s">
        <v>66</v>
      </c>
      <c r="B10" s="4">
        <f>Баланс!C38+Баланс!C42</f>
        <v>0</v>
      </c>
      <c r="C10" s="4">
        <f>[1]Баланс!D37+[1]Баланс!D41</f>
        <v>0</v>
      </c>
    </row>
    <row r="11" spans="1:5">
      <c r="A11" s="4" t="s">
        <v>67</v>
      </c>
      <c r="B11" s="4">
        <f>Баланс!C44</f>
        <v>100</v>
      </c>
      <c r="C11" s="4">
        <f>Баланс!D44</f>
        <v>300</v>
      </c>
    </row>
    <row r="12" spans="1:5">
      <c r="A12" s="23" t="s">
        <v>68</v>
      </c>
      <c r="B12" s="24">
        <f>SUM(B4+B6+B11)</f>
        <v>2535</v>
      </c>
      <c r="C12" s="24">
        <f>SUM(C4+C6+C11)</f>
        <v>4230</v>
      </c>
    </row>
    <row r="13" spans="1:5">
      <c r="A13" s="31"/>
      <c r="B13" s="32"/>
      <c r="C13" s="32"/>
    </row>
    <row r="14" spans="1:5" ht="25.5">
      <c r="A14" s="25" t="s">
        <v>69</v>
      </c>
      <c r="B14" s="26" t="s">
        <v>2</v>
      </c>
      <c r="C14" s="27" t="s">
        <v>3</v>
      </c>
    </row>
    <row r="15" spans="1:5">
      <c r="A15" s="4" t="s">
        <v>70</v>
      </c>
      <c r="B15" s="4">
        <f>Баланс!C56</f>
        <v>1550</v>
      </c>
      <c r="C15" s="4">
        <f>Баланс!D56</f>
        <v>2000</v>
      </c>
    </row>
    <row r="16" spans="1:5">
      <c r="A16" s="4" t="s">
        <v>71</v>
      </c>
      <c r="B16" s="4">
        <f>SUM(B17,B18,B19,B21)</f>
        <v>985</v>
      </c>
      <c r="C16" s="4">
        <f>SUM(C17,C18,C19,C21)</f>
        <v>2230</v>
      </c>
    </row>
    <row r="17" spans="1:3">
      <c r="A17" s="4" t="s">
        <v>73</v>
      </c>
      <c r="B17" s="4">
        <f>Баланс!C61</f>
        <v>170</v>
      </c>
      <c r="C17" s="4">
        <f>Баланс!D61</f>
        <v>185</v>
      </c>
    </row>
    <row r="18" spans="1:3">
      <c r="A18" s="4" t="s">
        <v>75</v>
      </c>
      <c r="B18" s="4">
        <f>Баланс!C67</f>
        <v>500</v>
      </c>
      <c r="C18" s="4">
        <f>Баланс!D67</f>
        <v>710</v>
      </c>
    </row>
    <row r="19" spans="1:3">
      <c r="A19" s="4" t="s">
        <v>77</v>
      </c>
      <c r="B19" s="4">
        <f>Баланс!C82</f>
        <v>215</v>
      </c>
      <c r="C19" s="4">
        <f>Баланс!D82</f>
        <v>535</v>
      </c>
    </row>
    <row r="20" spans="1:3">
      <c r="A20" s="4" t="s">
        <v>78</v>
      </c>
      <c r="B20" s="4">
        <f>SUM(Баланс!C71:C81)</f>
        <v>175</v>
      </c>
      <c r="C20" s="4">
        <f>SUM(Баланс!D71:D81)</f>
        <v>435</v>
      </c>
    </row>
    <row r="21" spans="1:3">
      <c r="A21" s="4" t="s">
        <v>79</v>
      </c>
      <c r="B21" s="4">
        <f>Баланс!C83</f>
        <v>100</v>
      </c>
      <c r="C21" s="4">
        <f>Баланс!D83</f>
        <v>800</v>
      </c>
    </row>
    <row r="22" spans="1:3">
      <c r="A22" s="28" t="s">
        <v>68</v>
      </c>
      <c r="B22" s="29">
        <f>B15+B16</f>
        <v>2535</v>
      </c>
      <c r="C22" s="29">
        <f>C15+C16</f>
        <v>4230</v>
      </c>
    </row>
  </sheetData>
  <sheetProtection sheet="1" objects="1" scenarios="1"/>
  <mergeCells count="1">
    <mergeCell ref="A1:C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opLeftCell="A9" workbookViewId="0">
      <selection activeCell="F19" sqref="F19"/>
    </sheetView>
  </sheetViews>
  <sheetFormatPr defaultRowHeight="15"/>
  <cols>
    <col min="1" max="1" width="11.85546875" style="1" customWidth="1"/>
    <col min="2" max="2" width="25.85546875" style="1" customWidth="1"/>
    <col min="3" max="3" width="15" style="1" customWidth="1"/>
    <col min="4" max="4" width="14.5703125" style="1" customWidth="1"/>
    <col min="5" max="16384" width="9.140625" style="1"/>
  </cols>
  <sheetData>
    <row r="1" spans="1:5" ht="15" customHeight="1">
      <c r="A1" s="63" t="s">
        <v>114</v>
      </c>
      <c r="B1" s="63"/>
      <c r="C1" s="63"/>
      <c r="D1" s="63"/>
      <c r="E1" s="34"/>
    </row>
    <row r="2" spans="1:5" ht="15" customHeight="1">
      <c r="A2" s="63"/>
      <c r="B2" s="63"/>
      <c r="C2" s="63"/>
      <c r="D2" s="63"/>
      <c r="E2" s="34"/>
    </row>
    <row r="3" spans="1:5" ht="42.75">
      <c r="A3" s="40" t="s">
        <v>200</v>
      </c>
      <c r="B3" s="40" t="s">
        <v>115</v>
      </c>
      <c r="C3" s="40" t="s">
        <v>116</v>
      </c>
      <c r="D3" s="40" t="s">
        <v>117</v>
      </c>
    </row>
    <row r="4" spans="1:5" ht="25.5">
      <c r="A4" s="33" t="s">
        <v>144</v>
      </c>
      <c r="B4" s="41" t="s">
        <v>118</v>
      </c>
      <c r="C4" s="33">
        <v>750</v>
      </c>
      <c r="D4" s="33">
        <v>600</v>
      </c>
      <c r="E4" s="39"/>
    </row>
    <row r="5" spans="1:5">
      <c r="A5" s="33" t="s">
        <v>72</v>
      </c>
      <c r="B5" s="41" t="s">
        <v>119</v>
      </c>
      <c r="C5" s="33">
        <v>125</v>
      </c>
      <c r="D5" s="33">
        <v>100</v>
      </c>
    </row>
    <row r="6" spans="1:5">
      <c r="A6" s="33" t="s">
        <v>74</v>
      </c>
      <c r="B6" s="41" t="s">
        <v>120</v>
      </c>
      <c r="C6" s="33">
        <v>0</v>
      </c>
      <c r="D6" s="33">
        <v>0</v>
      </c>
    </row>
    <row r="7" spans="1:5">
      <c r="A7" s="33" t="s">
        <v>76</v>
      </c>
      <c r="B7" s="41" t="s">
        <v>121</v>
      </c>
      <c r="C7" s="33">
        <v>0</v>
      </c>
      <c r="D7" s="33">
        <v>0</v>
      </c>
    </row>
    <row r="8" spans="1:5" ht="25.5">
      <c r="A8" s="33" t="s">
        <v>149</v>
      </c>
      <c r="B8" s="41" t="s">
        <v>122</v>
      </c>
      <c r="C8" s="33">
        <f>C4-C5-C6-C7</f>
        <v>625</v>
      </c>
      <c r="D8" s="33">
        <f>D4-D5-D6-D7</f>
        <v>500</v>
      </c>
    </row>
    <row r="9" spans="1:5" ht="25.5">
      <c r="A9" s="33" t="s">
        <v>151</v>
      </c>
      <c r="B9" s="41" t="s">
        <v>123</v>
      </c>
      <c r="C9" s="33">
        <v>350</v>
      </c>
      <c r="D9" s="33">
        <v>300</v>
      </c>
    </row>
    <row r="10" spans="1:5">
      <c r="A10" s="33" t="s">
        <v>152</v>
      </c>
      <c r="B10" s="41" t="s">
        <v>124</v>
      </c>
      <c r="C10" s="33">
        <f>C8-C9</f>
        <v>275</v>
      </c>
      <c r="D10" s="33">
        <f>D8-D9</f>
        <v>200</v>
      </c>
    </row>
    <row r="11" spans="1:5">
      <c r="A11" s="33" t="s">
        <v>153</v>
      </c>
      <c r="B11" s="41" t="s">
        <v>125</v>
      </c>
      <c r="C11" s="33">
        <v>10</v>
      </c>
      <c r="D11" s="33">
        <v>40</v>
      </c>
    </row>
    <row r="12" spans="1:5">
      <c r="A12" s="33" t="s">
        <v>154</v>
      </c>
      <c r="B12" s="41" t="s">
        <v>126</v>
      </c>
      <c r="C12" s="33">
        <v>0</v>
      </c>
      <c r="D12" s="33">
        <v>0</v>
      </c>
    </row>
    <row r="13" spans="1:5">
      <c r="A13" s="33" t="s">
        <v>155</v>
      </c>
      <c r="B13" s="41" t="s">
        <v>127</v>
      </c>
      <c r="C13" s="33">
        <v>0</v>
      </c>
      <c r="D13" s="33">
        <v>0</v>
      </c>
    </row>
    <row r="14" spans="1:5">
      <c r="A14" s="33" t="s">
        <v>165</v>
      </c>
      <c r="B14" s="41" t="s">
        <v>128</v>
      </c>
      <c r="C14" s="33">
        <v>5</v>
      </c>
      <c r="D14" s="33">
        <v>0</v>
      </c>
    </row>
    <row r="15" spans="1:5" ht="25.5">
      <c r="A15" s="33" t="s">
        <v>194</v>
      </c>
      <c r="B15" s="41" t="s">
        <v>129</v>
      </c>
      <c r="C15" s="33">
        <f>C10+C11-C12-C13-C14</f>
        <v>280</v>
      </c>
      <c r="D15" s="33">
        <f>D10+D11-D12-D13-D14</f>
        <v>240</v>
      </c>
    </row>
    <row r="16" spans="1:5" ht="38.25">
      <c r="A16" s="33" t="s">
        <v>196</v>
      </c>
      <c r="B16" s="41" t="s">
        <v>130</v>
      </c>
      <c r="C16" s="33">
        <v>320</v>
      </c>
      <c r="D16" s="33">
        <v>260</v>
      </c>
    </row>
    <row r="17" spans="1:5" ht="25.5">
      <c r="A17" s="33" t="s">
        <v>198</v>
      </c>
      <c r="B17" s="41" t="s">
        <v>131</v>
      </c>
      <c r="C17" s="33">
        <v>220</v>
      </c>
      <c r="D17" s="33">
        <v>180</v>
      </c>
    </row>
    <row r="18" spans="1:5">
      <c r="A18" s="33" t="s">
        <v>201</v>
      </c>
      <c r="B18" s="41" t="s">
        <v>132</v>
      </c>
      <c r="C18" s="33">
        <v>220</v>
      </c>
      <c r="D18" s="33">
        <v>180</v>
      </c>
    </row>
    <row r="19" spans="1:5" ht="38.25">
      <c r="A19" s="33" t="s">
        <v>202</v>
      </c>
      <c r="B19" s="41" t="s">
        <v>133</v>
      </c>
      <c r="C19" s="33">
        <v>9</v>
      </c>
      <c r="D19" s="33">
        <v>6</v>
      </c>
    </row>
    <row r="20" spans="1:5" ht="25.5">
      <c r="A20" s="33" t="s">
        <v>203</v>
      </c>
      <c r="B20" s="41" t="s">
        <v>134</v>
      </c>
      <c r="C20" s="33">
        <v>2</v>
      </c>
      <c r="D20" s="33">
        <v>1</v>
      </c>
    </row>
    <row r="21" spans="1:5" ht="25.5">
      <c r="A21" s="33" t="s">
        <v>204</v>
      </c>
      <c r="B21" s="41" t="s">
        <v>135</v>
      </c>
      <c r="C21" s="33">
        <v>200</v>
      </c>
      <c r="D21" s="33">
        <v>100</v>
      </c>
    </row>
    <row r="22" spans="1:5" ht="25.5">
      <c r="A22" s="33" t="s">
        <v>205</v>
      </c>
      <c r="B22" s="41" t="s">
        <v>136</v>
      </c>
      <c r="C22" s="33">
        <v>30</v>
      </c>
      <c r="D22" s="33">
        <v>20</v>
      </c>
    </row>
    <row r="23" spans="1:5">
      <c r="A23" s="35"/>
      <c r="B23" s="36"/>
      <c r="C23" s="37"/>
      <c r="D23" s="34"/>
      <c r="E23" s="34"/>
    </row>
    <row r="24" spans="1:5">
      <c r="A24" s="35"/>
      <c r="B24" s="38"/>
      <c r="C24" s="37"/>
    </row>
    <row r="25" spans="1:5">
      <c r="A25" s="35"/>
      <c r="B25" s="38"/>
      <c r="C25" s="37"/>
    </row>
    <row r="26" spans="1:5">
      <c r="A26" s="38"/>
      <c r="B26" s="38"/>
      <c r="C26" s="38"/>
    </row>
  </sheetData>
  <sheetProtection sheet="1" objects="1" scenarios="1"/>
  <mergeCells count="1">
    <mergeCell ref="A1:D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H6" sqref="H6"/>
    </sheetView>
  </sheetViews>
  <sheetFormatPr defaultRowHeight="15"/>
  <cols>
    <col min="1" max="1" width="9.140625" style="1"/>
    <col min="2" max="2" width="31.5703125" style="1" customWidth="1"/>
    <col min="3" max="3" width="15" style="1" customWidth="1"/>
    <col min="4" max="4" width="16.85546875" style="1" customWidth="1"/>
    <col min="5" max="16384" width="9.140625" style="1"/>
  </cols>
  <sheetData>
    <row r="1" spans="1:7" ht="15.75" customHeight="1">
      <c r="A1" s="64" t="s">
        <v>142</v>
      </c>
      <c r="B1" s="65"/>
      <c r="C1" s="65"/>
      <c r="D1" s="66"/>
      <c r="E1" s="43"/>
      <c r="F1" s="43"/>
      <c r="G1" s="43"/>
    </row>
    <row r="2" spans="1:7" ht="17.25" customHeight="1">
      <c r="A2" s="67"/>
      <c r="B2" s="68"/>
      <c r="C2" s="68"/>
      <c r="D2" s="69"/>
      <c r="E2" s="43"/>
      <c r="F2" s="43"/>
      <c r="G2" s="43"/>
    </row>
    <row r="3" spans="1:7" ht="42.75">
      <c r="A3" s="40" t="s">
        <v>137</v>
      </c>
      <c r="B3" s="40" t="s">
        <v>143</v>
      </c>
      <c r="C3" s="40" t="str">
        <f>[1]Баланс!C1</f>
        <v>На початок звітного періоду</v>
      </c>
      <c r="D3" s="40" t="str">
        <f>[1]Баланс!D1</f>
        <v>На кінець звітного періоду</v>
      </c>
      <c r="E3" s="48"/>
      <c r="F3" s="38"/>
      <c r="G3" s="38"/>
    </row>
    <row r="4" spans="1:7" ht="32.25" customHeight="1">
      <c r="A4" s="70" t="s">
        <v>206</v>
      </c>
      <c r="B4" s="71"/>
      <c r="C4" s="71"/>
      <c r="D4" s="72"/>
      <c r="E4" s="38"/>
      <c r="F4" s="46"/>
      <c r="G4" s="46"/>
    </row>
    <row r="5" spans="1:7" ht="45">
      <c r="A5" s="52" t="s">
        <v>144</v>
      </c>
      <c r="B5" s="55" t="s">
        <v>145</v>
      </c>
      <c r="C5" s="53">
        <f>Баланс_Нетто!B12</f>
        <v>2535</v>
      </c>
      <c r="D5" s="53">
        <f>Баланс_Нетто!C12</f>
        <v>4230</v>
      </c>
      <c r="E5" s="2"/>
      <c r="F5" s="38"/>
      <c r="G5" s="38"/>
    </row>
    <row r="6" spans="1:7" ht="30">
      <c r="A6" s="52" t="s">
        <v>72</v>
      </c>
      <c r="B6" s="55" t="s">
        <v>146</v>
      </c>
      <c r="C6" s="53">
        <f>Баланс_Нетто!B4/Баланс_Нетто!B12</f>
        <v>0.51282051282051277</v>
      </c>
      <c r="D6" s="53">
        <f>Баланс_Нетто!C4/Баланс_Нетто!C12</f>
        <v>0.37825059101654845</v>
      </c>
      <c r="E6" s="2"/>
      <c r="F6" s="38"/>
      <c r="G6" s="38"/>
    </row>
    <row r="7" spans="1:7" ht="30">
      <c r="A7" s="52" t="s">
        <v>74</v>
      </c>
      <c r="B7" s="55" t="s">
        <v>147</v>
      </c>
      <c r="C7" s="53">
        <f>Баланс_Нетто!B5/Баланс_Нетто!B12</f>
        <v>0.39447731755424065</v>
      </c>
      <c r="D7" s="53">
        <f>Баланс_Нетто!C5/Баланс_Нетто!C12</f>
        <v>0.18912529550827423</v>
      </c>
      <c r="E7" s="2"/>
      <c r="F7" s="38"/>
      <c r="G7" s="38"/>
    </row>
    <row r="8" spans="1:7" ht="30">
      <c r="A8" s="52"/>
      <c r="B8" s="55" t="s">
        <v>148</v>
      </c>
      <c r="C8" s="53">
        <f>Баланс_Нетто!B5/Баланс_Нетто!B4</f>
        <v>0.76923076923076927</v>
      </c>
      <c r="D8" s="53">
        <f>Баланс_Нетто!C5/Баланс_Нетто!C4</f>
        <v>0.5</v>
      </c>
      <c r="E8" s="2"/>
      <c r="F8" s="38"/>
      <c r="G8" s="38"/>
    </row>
    <row r="9" spans="1:7" ht="30">
      <c r="A9" s="52" t="s">
        <v>76</v>
      </c>
      <c r="B9" s="55" t="s">
        <v>138</v>
      </c>
      <c r="C9" s="53">
        <f>Баланс!C12/Баланс!C11</f>
        <v>0.9</v>
      </c>
      <c r="D9" s="53">
        <f>Баланс!D12/Баланс!D11</f>
        <v>0.92</v>
      </c>
      <c r="E9" s="2"/>
      <c r="F9" s="38"/>
      <c r="G9" s="38"/>
    </row>
    <row r="10" spans="1:7">
      <c r="A10" s="52" t="s">
        <v>149</v>
      </c>
      <c r="B10" s="55" t="s">
        <v>150</v>
      </c>
      <c r="C10" s="53">
        <f>Баланс!C10/Баланс!C11</f>
        <v>0.1</v>
      </c>
      <c r="D10" s="53">
        <f>Баланс!D10/Баланс!D11</f>
        <v>0.08</v>
      </c>
      <c r="E10" s="2"/>
      <c r="F10" s="38"/>
      <c r="G10" s="38"/>
    </row>
    <row r="11" spans="1:7" ht="15.75" customHeight="1">
      <c r="A11" s="70" t="s">
        <v>207</v>
      </c>
      <c r="B11" s="71"/>
      <c r="C11" s="71"/>
      <c r="D11" s="72"/>
      <c r="E11" s="2"/>
      <c r="F11" s="46"/>
      <c r="G11" s="46"/>
    </row>
    <row r="12" spans="1:7" ht="30">
      <c r="A12" s="52" t="s">
        <v>144</v>
      </c>
      <c r="B12" s="55" t="s">
        <v>156</v>
      </c>
      <c r="C12" s="53">
        <f>Баланс!C$56/Баланс!C$84</f>
        <v>0.61143984220907299</v>
      </c>
      <c r="D12" s="53">
        <f>Баланс!D$56/Баланс!D$84</f>
        <v>0.4728132387706856</v>
      </c>
      <c r="E12" s="2"/>
      <c r="F12" s="46"/>
      <c r="G12" s="46"/>
    </row>
    <row r="13" spans="1:7" ht="30">
      <c r="A13" s="52" t="s">
        <v>72</v>
      </c>
      <c r="B13" s="55" t="s">
        <v>157</v>
      </c>
      <c r="C13" s="53">
        <f>SUM(Баланс!C$61,Баланс!C$67,Баланс!C$82,Баланс!C$83)/Баланс!C$84</f>
        <v>0.38856015779092701</v>
      </c>
      <c r="D13" s="53">
        <f>SUM(Баланс!D$61,Баланс!D$67,Баланс!D$82,Баланс!D$83)/Баланс!D$84</f>
        <v>0.5271867612293144</v>
      </c>
      <c r="E13" s="2"/>
      <c r="F13" s="46"/>
      <c r="G13" s="46"/>
    </row>
    <row r="14" spans="1:7">
      <c r="A14" s="52" t="s">
        <v>74</v>
      </c>
      <c r="B14" s="55" t="s">
        <v>158</v>
      </c>
      <c r="C14" s="53">
        <f>Баланс!C$56/SUM(Баланс!C$61,Баланс!C$67,Баланс!C$82,Баланс!C$83)</f>
        <v>1.5736040609137056</v>
      </c>
      <c r="D14" s="53">
        <f>Баланс!D$56/SUM(Баланс!D$61,Баланс!D$67,Баланс!D$82,Баланс!D$83)</f>
        <v>0.89686098654708524</v>
      </c>
      <c r="E14" s="2"/>
      <c r="F14" s="46"/>
      <c r="G14" s="46"/>
    </row>
    <row r="15" spans="1:7" ht="30">
      <c r="A15" s="52" t="s">
        <v>76</v>
      </c>
      <c r="B15" s="55" t="s">
        <v>159</v>
      </c>
      <c r="C15" s="53">
        <f>SUM(Баланс!C60,Баланс!C67,Баланс!C82,Баланс!C83)/Баланс!C56</f>
        <v>0.5903225806451613</v>
      </c>
      <c r="D15" s="53">
        <f>SUM(Баланс!D60,Баланс!D67,Баланс!D82,Баланс!D83)/Баланс!D56</f>
        <v>1.0725</v>
      </c>
      <c r="E15" s="2"/>
      <c r="F15" s="46"/>
      <c r="G15" s="46"/>
    </row>
    <row r="16" spans="1:7">
      <c r="A16" s="52" t="s">
        <v>149</v>
      </c>
      <c r="B16" s="55" t="s">
        <v>160</v>
      </c>
      <c r="C16" s="53">
        <f>Баланс!C84/Баланс!C56</f>
        <v>1.6354838709677419</v>
      </c>
      <c r="D16" s="53">
        <f>Баланс!D84/Баланс!D56</f>
        <v>2.1150000000000002</v>
      </c>
      <c r="E16" s="45"/>
      <c r="F16" s="46"/>
      <c r="G16" s="46"/>
    </row>
    <row r="17" spans="1:7" ht="30">
      <c r="A17" s="52" t="s">
        <v>151</v>
      </c>
      <c r="B17" s="55" t="s">
        <v>141</v>
      </c>
      <c r="C17" s="53">
        <f>(Баланс!C56-Баланс!C19)/Баланс!C56</f>
        <v>0.16129032258064516</v>
      </c>
      <c r="D17" s="53">
        <f>(Баланс!D56-Баланс!D19)/Баланс!D56</f>
        <v>0.2</v>
      </c>
      <c r="E17" s="38"/>
      <c r="F17" s="46"/>
      <c r="G17" s="46"/>
    </row>
    <row r="18" spans="1:7" ht="30">
      <c r="A18" s="52" t="s">
        <v>152</v>
      </c>
      <c r="B18" s="55" t="s">
        <v>161</v>
      </c>
      <c r="C18" s="53">
        <f>Баланс!C67/SUM(Баланс!C61,Баланс!C67,Баланс!C82,Баланс!C83)</f>
        <v>0.50761421319796951</v>
      </c>
      <c r="D18" s="53">
        <f>Баланс!D67/SUM(Баланс!D61,Баланс!D67,Баланс!D82,Баланс!D83)</f>
        <v>0.31838565022421522</v>
      </c>
      <c r="E18" s="2"/>
      <c r="F18" s="38"/>
      <c r="G18" s="38"/>
    </row>
    <row r="19" spans="1:7">
      <c r="A19" s="52" t="s">
        <v>153</v>
      </c>
      <c r="B19" s="55" t="s">
        <v>162</v>
      </c>
      <c r="C19" s="53">
        <f>Баланс!C56/Баланс!C19</f>
        <v>1.1923076923076923</v>
      </c>
      <c r="D19" s="53">
        <f>Баланс!D56/Баланс!D19</f>
        <v>1.25</v>
      </c>
      <c r="E19" s="2"/>
      <c r="F19" s="38"/>
      <c r="G19" s="38"/>
    </row>
    <row r="20" spans="1:7" ht="45">
      <c r="A20" s="52" t="s">
        <v>154</v>
      </c>
      <c r="B20" s="55" t="s">
        <v>163</v>
      </c>
      <c r="C20" s="53">
        <f>(Баланс!C56-Баланс!C19)/SUM(Баланс!C22:C26)</f>
        <v>1.7857142857142858</v>
      </c>
      <c r="D20" s="53">
        <f>(Баланс!D56-Баланс!D19)/SUM(Баланс!D22:D26)</f>
        <v>1</v>
      </c>
      <c r="E20" s="2"/>
      <c r="F20" s="38"/>
      <c r="G20" s="38"/>
    </row>
    <row r="21" spans="1:7">
      <c r="A21" s="52" t="s">
        <v>155</v>
      </c>
      <c r="B21" s="55" t="s">
        <v>164</v>
      </c>
      <c r="C21" s="53">
        <f>(Баланс!C43+Баланс!C44-Баланс!C82-Баланс!C83)/Баланс!C84</f>
        <v>0.3629191321499014</v>
      </c>
      <c r="D21" s="53">
        <f>(Баланс!D43+Баланс!D44-Баланс!D82-Баланс!D83)/Баланс!D84</f>
        <v>0.30614657210401891</v>
      </c>
      <c r="E21" s="2"/>
      <c r="F21" s="38"/>
      <c r="G21" s="38"/>
    </row>
    <row r="22" spans="1:7">
      <c r="A22" s="52" t="s">
        <v>165</v>
      </c>
      <c r="B22" s="55" t="s">
        <v>166</v>
      </c>
      <c r="C22" s="53">
        <f>Баланс!C56/SUM(Баланс!C82,Баланс!C83)</f>
        <v>4.9206349206349209</v>
      </c>
      <c r="D22" s="53">
        <f>Баланс!D56/SUM(Баланс!D82,Баланс!D83)</f>
        <v>1.4981273408239701</v>
      </c>
      <c r="E22" s="2"/>
      <c r="F22" s="38"/>
      <c r="G22" s="38"/>
    </row>
    <row r="23" spans="1:7" ht="30">
      <c r="A23" s="52" t="s">
        <v>194</v>
      </c>
      <c r="B23" s="55" t="s">
        <v>167</v>
      </c>
      <c r="C23" s="53">
        <f>Баланс_Нетто!B8/Баланс_Нетто!B20</f>
        <v>4.8285714285714283</v>
      </c>
      <c r="D23" s="53">
        <f>Баланс_Нетто!C8/Баланс_Нетто!C20</f>
        <v>4.0919540229885056</v>
      </c>
      <c r="E23" s="2"/>
      <c r="F23" s="38"/>
      <c r="G23" s="38"/>
    </row>
    <row r="24" spans="1:7" ht="30" customHeight="1">
      <c r="A24" s="64" t="s">
        <v>208</v>
      </c>
      <c r="B24" s="65"/>
      <c r="C24" s="65"/>
      <c r="D24" s="66"/>
      <c r="E24" s="2"/>
      <c r="F24" s="38"/>
      <c r="G24" s="38"/>
    </row>
    <row r="25" spans="1:7">
      <c r="A25" s="52" t="s">
        <v>144</v>
      </c>
      <c r="B25" s="55" t="s">
        <v>168</v>
      </c>
      <c r="C25" s="53">
        <f>Звіт_фін_рез!D18/((Баланс!$C$84+Баланс!$D$84)*0.5)*100</f>
        <v>5.3215077605321506</v>
      </c>
      <c r="D25" s="53">
        <f>Звіт_фін_рез!C18/((Баланс!$C$84+Баланс!$D$84)*0.5)*100</f>
        <v>6.5040650406504072</v>
      </c>
      <c r="E25" s="2"/>
      <c r="F25" s="38"/>
      <c r="G25" s="38"/>
    </row>
    <row r="26" spans="1:7" ht="30">
      <c r="A26" s="52" t="s">
        <v>72</v>
      </c>
      <c r="B26" s="55" t="s">
        <v>169</v>
      </c>
      <c r="C26" s="53">
        <f>Звіт_фін_рез!D18/((Баланс!$C$56+Баланс!$D$56)*0.5)*100</f>
        <v>10.140845070422536</v>
      </c>
      <c r="D26" s="53">
        <f>Звіт_фін_рез!C18/((Баланс!$C$56+Баланс!$D$56)*0.5)*100</f>
        <v>12.394366197183098</v>
      </c>
      <c r="E26" s="2"/>
      <c r="F26" s="38"/>
      <c r="G26" s="38"/>
    </row>
    <row r="27" spans="1:7">
      <c r="A27" s="52" t="s">
        <v>74</v>
      </c>
      <c r="B27" s="55" t="s">
        <v>170</v>
      </c>
      <c r="C27" s="53">
        <f>Звіт_фін_рез!D18/((Баланс!$C$10+Баланс!$D$10)*0.5)*100</f>
        <v>20</v>
      </c>
      <c r="D27" s="53">
        <f>Звіт_фін_рез!C18/((Баланс!$C$10+Баланс!$D$10)*0.5)*100</f>
        <v>24.444444444444443</v>
      </c>
      <c r="E27" s="49"/>
      <c r="F27" s="38"/>
      <c r="G27" s="38"/>
    </row>
    <row r="28" spans="1:7">
      <c r="A28" s="52" t="s">
        <v>76</v>
      </c>
      <c r="B28" s="55" t="s">
        <v>171</v>
      </c>
      <c r="C28" s="53">
        <f>Звіт_фін_рез!D18/Звіт_фін_рез!D4*100</f>
        <v>30</v>
      </c>
      <c r="D28" s="53">
        <f>Звіт_фін_рез!C18/Звіт_фін_рез!C4*100</f>
        <v>29.333333333333332</v>
      </c>
      <c r="E28" s="2"/>
      <c r="F28" s="38"/>
      <c r="G28" s="38"/>
    </row>
    <row r="29" spans="1:7" ht="30">
      <c r="A29" s="52" t="s">
        <v>149</v>
      </c>
      <c r="B29" s="55" t="s">
        <v>172</v>
      </c>
      <c r="C29" s="53">
        <f>Звіт_фін_рез!D18/Звіт_фін_рез!D9*100</f>
        <v>60</v>
      </c>
      <c r="D29" s="53">
        <f>Звіт_фін_рез!C18/Звіт_фін_рез!C9*100</f>
        <v>62.857142857142854</v>
      </c>
      <c r="E29" s="45"/>
      <c r="F29" s="46"/>
      <c r="G29" s="46"/>
    </row>
    <row r="30" spans="1:7" ht="30">
      <c r="A30" s="52" t="s">
        <v>151</v>
      </c>
      <c r="B30" s="55" t="s">
        <v>173</v>
      </c>
      <c r="C30" s="53">
        <f>(Баланс!$C$56+Баланс!$D$56)*0.5/Звіт_фін_рез!D18</f>
        <v>9.8611111111111107</v>
      </c>
      <c r="D30" s="53">
        <f>(Баланс!$C$56+Баланс!$D$56)*0.5/Звіт_фін_рез!C18</f>
        <v>8.0681818181818183</v>
      </c>
      <c r="E30" s="2"/>
      <c r="F30" s="38"/>
      <c r="G30" s="38"/>
    </row>
    <row r="31" spans="1:7" ht="36.75" customHeight="1">
      <c r="A31" s="64" t="s">
        <v>209</v>
      </c>
      <c r="B31" s="65"/>
      <c r="C31" s="65"/>
      <c r="D31" s="66"/>
      <c r="E31" s="45"/>
      <c r="F31" s="46"/>
      <c r="G31" s="46"/>
    </row>
    <row r="32" spans="1:7">
      <c r="A32" s="52" t="s">
        <v>144</v>
      </c>
      <c r="B32" s="55" t="s">
        <v>174</v>
      </c>
      <c r="C32" s="53">
        <f>Баланс!C56+Баланс!C61+Баланс!C67-Баланс!C19</f>
        <v>920</v>
      </c>
      <c r="D32" s="53">
        <f>Баланс!D56+Баланс!D61+Баланс!D67-Баланс!D19</f>
        <v>1295</v>
      </c>
      <c r="E32" s="38"/>
      <c r="F32" s="46"/>
      <c r="G32" s="46"/>
    </row>
    <row r="33" spans="1:7" ht="43.5">
      <c r="A33" s="52" t="s">
        <v>72</v>
      </c>
      <c r="B33" s="57" t="s">
        <v>211</v>
      </c>
      <c r="C33" s="56">
        <f>Баланс!C56+Баланс!C67-Баланс!C19</f>
        <v>750</v>
      </c>
      <c r="D33" s="56">
        <f>Баланс!D56+Баланс!D67-Баланс!D19</f>
        <v>1110</v>
      </c>
      <c r="E33" s="2"/>
      <c r="F33" s="38"/>
      <c r="G33" s="38"/>
    </row>
    <row r="34" spans="1:7" ht="30">
      <c r="A34" s="52" t="s">
        <v>74</v>
      </c>
      <c r="B34" s="55" t="s">
        <v>175</v>
      </c>
      <c r="C34" s="53">
        <f>(Баланс!C40+Баланс!C41)/C33</f>
        <v>0.2</v>
      </c>
      <c r="D34" s="53">
        <f>(Баланс!D40+Баланс!D41)/D33</f>
        <v>0.13513513513513514</v>
      </c>
      <c r="E34" s="2"/>
      <c r="F34" s="38"/>
      <c r="G34" s="38"/>
    </row>
    <row r="35" spans="1:7" ht="30">
      <c r="A35" s="52" t="s">
        <v>76</v>
      </c>
      <c r="B35" s="55" t="s">
        <v>176</v>
      </c>
      <c r="C35" s="53">
        <f>Звіт_фін_рез!D8/C33</f>
        <v>0.66666666666666663</v>
      </c>
      <c r="D35" s="53">
        <f>[1]Зв_Ф2!D8/[1]Коефти!G42</f>
        <v>0.56306306306306309</v>
      </c>
      <c r="E35" s="2"/>
      <c r="F35" s="38"/>
      <c r="G35" s="38"/>
    </row>
    <row r="36" spans="1:7" ht="30">
      <c r="A36" s="52" t="s">
        <v>149</v>
      </c>
      <c r="B36" s="55" t="s">
        <v>177</v>
      </c>
      <c r="C36" s="53">
        <f>([1]Баланс!C42+[1]Баланс!C43)/([1]Баланс!C83+[1]Баланс!C84)</f>
        <v>3.9206349206349205</v>
      </c>
      <c r="D36" s="53">
        <f>([1]Баланс!D42+[1]Баланс!D43)/([1]Баланс!D83+[1]Баланс!D84)</f>
        <v>1.9700374531835205</v>
      </c>
      <c r="E36" s="2"/>
      <c r="F36" s="38"/>
      <c r="G36" s="38"/>
    </row>
    <row r="37" spans="1:7">
      <c r="A37" s="52" t="s">
        <v>151</v>
      </c>
      <c r="B37" s="55" t="s">
        <v>139</v>
      </c>
      <c r="C37" s="53">
        <f>(Баланс_Нетто!B6-Баланс_Нетто!B7+Баланс_Нетто!B11)/(Баланс!C82+Баланс!C83)</f>
        <v>3.4761904761904763</v>
      </c>
      <c r="D37" s="53">
        <f>(Баланс_Нетто!C6-Баланс_Нетто!C7+Баланс_Нетто!C11)/(Баланс!D82+Баланс!D83)</f>
        <v>1.6704119850187267</v>
      </c>
      <c r="E37" s="2"/>
      <c r="F37" s="38"/>
      <c r="G37" s="38"/>
    </row>
    <row r="38" spans="1:7" ht="30">
      <c r="A38" s="52" t="s">
        <v>152</v>
      </c>
      <c r="B38" s="55" t="s">
        <v>140</v>
      </c>
      <c r="C38" s="53">
        <f>(Баланс!C40+Баланс!C41)/(Баланс!C82+Баланс!C83)</f>
        <v>0.47619047619047616</v>
      </c>
      <c r="D38" s="53">
        <f>(Баланс!D40+Баланс!D41)/(Баланс!D82+Баланс!D83)</f>
        <v>0.11235955056179775</v>
      </c>
      <c r="E38" s="2"/>
      <c r="F38" s="38"/>
      <c r="G38" s="38"/>
    </row>
    <row r="39" spans="1:7" ht="30">
      <c r="A39" s="52" t="s">
        <v>153</v>
      </c>
      <c r="B39" s="55" t="s">
        <v>178</v>
      </c>
      <c r="C39" s="53">
        <f>Баланс!C43/Баланс!C45</f>
        <v>0.44773175542406313</v>
      </c>
      <c r="D39" s="53">
        <f>Баланс!D43/Баланс!D45</f>
        <v>0.55082742316784872</v>
      </c>
      <c r="E39" s="47"/>
      <c r="F39" s="46"/>
      <c r="G39" s="46"/>
    </row>
    <row r="40" spans="1:7" ht="15" customHeight="1">
      <c r="A40" s="52" t="s">
        <v>154</v>
      </c>
      <c r="B40" s="55" t="s">
        <v>179</v>
      </c>
      <c r="C40" s="53">
        <f>C33/Баланс!C43</f>
        <v>0.66079295154185025</v>
      </c>
      <c r="D40" s="53">
        <f>D33/Баланс!D43</f>
        <v>0.47639484978540775</v>
      </c>
      <c r="E40" s="50"/>
      <c r="F40" s="46"/>
      <c r="G40" s="46"/>
    </row>
    <row r="41" spans="1:7" ht="30">
      <c r="A41" s="52" t="s">
        <v>155</v>
      </c>
      <c r="B41" s="55" t="s">
        <v>180</v>
      </c>
      <c r="C41" s="53">
        <f>SUM(Баланс!C22:C26)/Баланс!C43</f>
        <v>0.12334801762114538</v>
      </c>
      <c r="D41" s="53">
        <f>SUM(Баланс!D22:D26)/Баланс!D43</f>
        <v>0.17167381974248927</v>
      </c>
      <c r="E41" s="2"/>
      <c r="F41" s="38"/>
      <c r="G41" s="38"/>
    </row>
    <row r="42" spans="1:7" ht="30">
      <c r="A42" s="52" t="s">
        <v>165</v>
      </c>
      <c r="B42" s="55" t="s">
        <v>181</v>
      </c>
      <c r="C42" s="53">
        <f>C33/SUM(Баланс!C22:C26)</f>
        <v>5.3571428571428568</v>
      </c>
      <c r="D42" s="53">
        <f>D33/SUM(Баланс!D22:D26)</f>
        <v>2.7749999999999999</v>
      </c>
      <c r="E42" s="51"/>
      <c r="F42" s="38"/>
      <c r="G42" s="38"/>
    </row>
    <row r="43" spans="1:7" ht="30.75" customHeight="1">
      <c r="A43" s="64" t="s">
        <v>210</v>
      </c>
      <c r="B43" s="65"/>
      <c r="C43" s="65"/>
      <c r="D43" s="66"/>
      <c r="E43" s="2"/>
      <c r="F43" s="38"/>
      <c r="G43" s="38"/>
    </row>
    <row r="44" spans="1:7">
      <c r="A44" s="52" t="s">
        <v>144</v>
      </c>
      <c r="B44" s="55" t="s">
        <v>182</v>
      </c>
      <c r="C44" s="53">
        <f>Звіт_фін_рез!D4</f>
        <v>600</v>
      </c>
      <c r="D44" s="53">
        <f>Звіт_фін_рез!C4</f>
        <v>750</v>
      </c>
      <c r="E44" s="2"/>
      <c r="F44" s="38"/>
      <c r="G44" s="38"/>
    </row>
    <row r="45" spans="1:7">
      <c r="A45" s="52" t="s">
        <v>72</v>
      </c>
      <c r="B45" s="55" t="s">
        <v>183</v>
      </c>
      <c r="C45" s="53">
        <f>Звіт_фін_рез!D18</f>
        <v>180</v>
      </c>
      <c r="D45" s="53">
        <f>Звіт_фін_рез!C18</f>
        <v>220</v>
      </c>
      <c r="E45" s="2"/>
      <c r="F45" s="38"/>
      <c r="G45" s="38"/>
    </row>
    <row r="46" spans="1:7">
      <c r="A46" s="52" t="s">
        <v>74</v>
      </c>
      <c r="B46" s="55" t="s">
        <v>184</v>
      </c>
      <c r="C46" s="53">
        <f>Звіт_фін_рез!D8/Звіт_фін_рез!D21</f>
        <v>5</v>
      </c>
      <c r="D46" s="53">
        <f>Звіт_фін_рез!C8/Звіт_фін_рез!C21</f>
        <v>3.125</v>
      </c>
      <c r="E46" s="49"/>
      <c r="F46" s="38"/>
      <c r="G46" s="38"/>
    </row>
    <row r="47" spans="1:7">
      <c r="A47" s="52" t="s">
        <v>76</v>
      </c>
      <c r="B47" s="55" t="s">
        <v>185</v>
      </c>
      <c r="C47" s="53" t="s">
        <v>186</v>
      </c>
      <c r="D47" s="53">
        <f>Звіт_фін_рез!C8/((Баланс_Нетто!$B$5+Баланс_Нетто!$C$5)*0.5)</f>
        <v>0.69444444444444442</v>
      </c>
      <c r="E47" s="2"/>
      <c r="F47" s="38"/>
      <c r="G47" s="38"/>
    </row>
    <row r="48" spans="1:7">
      <c r="A48" s="52" t="s">
        <v>149</v>
      </c>
      <c r="B48" s="55" t="s">
        <v>187</v>
      </c>
      <c r="C48" s="53" t="s">
        <v>186</v>
      </c>
      <c r="D48" s="53">
        <f>Звіт_фін_рез!C8/((Баланс_Нетто!$B$15+Баланс_Нетто!$C$15)*0.5)</f>
        <v>0.352112676056338</v>
      </c>
      <c r="E48" s="2"/>
      <c r="F48" s="38"/>
      <c r="G48" s="38"/>
    </row>
    <row r="49" spans="1:7">
      <c r="A49" s="52" t="s">
        <v>151</v>
      </c>
      <c r="B49" s="55" t="s">
        <v>188</v>
      </c>
      <c r="C49" s="53" t="s">
        <v>186</v>
      </c>
      <c r="D49" s="53">
        <f>Звіт_фін_рез!C8/((Баланс!$C$84+Баланс!$D$84)*0.5)</f>
        <v>0.18477457501847747</v>
      </c>
      <c r="E49" s="2"/>
      <c r="F49" s="38"/>
      <c r="G49" s="38"/>
    </row>
    <row r="50" spans="1:7">
      <c r="A50" s="52" t="s">
        <v>152</v>
      </c>
      <c r="B50" s="55" t="s">
        <v>189</v>
      </c>
      <c r="C50" s="53" t="s">
        <v>186</v>
      </c>
      <c r="D50" s="53">
        <f>Звіт_фін_рез!C9/((Баланс_Нетто!$B$7+Баланс_Нетто!$C$7)*0.5)</f>
        <v>1.2962962962962963</v>
      </c>
      <c r="E50" s="2"/>
      <c r="F50" s="38"/>
      <c r="G50" s="38"/>
    </row>
    <row r="51" spans="1:7">
      <c r="A51" s="52" t="s">
        <v>153</v>
      </c>
      <c r="B51" s="55" t="s">
        <v>190</v>
      </c>
      <c r="C51" s="54" t="s">
        <v>186</v>
      </c>
      <c r="D51" s="54">
        <f>360/D50</f>
        <v>277.71428571428572</v>
      </c>
      <c r="E51" s="2"/>
      <c r="F51" s="38"/>
      <c r="G51" s="38"/>
    </row>
    <row r="52" spans="1:7" ht="30">
      <c r="A52" s="52" t="s">
        <v>154</v>
      </c>
      <c r="B52" s="55" t="s">
        <v>191</v>
      </c>
      <c r="C52" s="53" t="s">
        <v>186</v>
      </c>
      <c r="D52" s="53">
        <f>((Баланс_Нетто!$B$8+Баланс_Нетто!$C$8)*0.5)/Звіт_фін_рез!C4</f>
        <v>1.75</v>
      </c>
      <c r="E52" s="47"/>
      <c r="F52" s="47"/>
      <c r="G52" s="47"/>
    </row>
    <row r="53" spans="1:7" ht="30">
      <c r="A53" s="52" t="s">
        <v>155</v>
      </c>
      <c r="B53" s="55" t="s">
        <v>192</v>
      </c>
      <c r="C53" s="53" t="s">
        <v>186</v>
      </c>
      <c r="D53" s="53">
        <f>Звіт_фін_рез!C4/((Баланс_Нетто!$B$8+Баланс_Нетто!$C$8)*0.5)</f>
        <v>0.5714285714285714</v>
      </c>
      <c r="E53" s="38"/>
      <c r="F53" s="46"/>
      <c r="G53" s="46"/>
    </row>
    <row r="54" spans="1:7" ht="30">
      <c r="A54" s="52" t="s">
        <v>165</v>
      </c>
      <c r="B54" s="55" t="s">
        <v>193</v>
      </c>
      <c r="C54" s="54" t="s">
        <v>186</v>
      </c>
      <c r="D54" s="54">
        <f>360/D53</f>
        <v>630</v>
      </c>
      <c r="E54" s="2"/>
      <c r="F54" s="38"/>
      <c r="G54" s="38"/>
    </row>
    <row r="55" spans="1:7" ht="30">
      <c r="A55" s="52" t="s">
        <v>194</v>
      </c>
      <c r="B55" s="55" t="s">
        <v>195</v>
      </c>
      <c r="C55" s="54" t="s">
        <v>186</v>
      </c>
      <c r="D55" s="54">
        <f>360*(Баланс_Нетто!$B$20+Баланс_Нетто!$C$20)*0.5/Звіт_фін_рез!C9</f>
        <v>313.71428571428572</v>
      </c>
      <c r="E55" s="2"/>
      <c r="F55" s="38"/>
      <c r="G55" s="38"/>
    </row>
    <row r="56" spans="1:7" ht="30">
      <c r="A56" s="52" t="s">
        <v>196</v>
      </c>
      <c r="B56" s="55" t="s">
        <v>197</v>
      </c>
      <c r="C56" s="54" t="s">
        <v>186</v>
      </c>
      <c r="D56" s="54">
        <f>D54+D51</f>
        <v>907.71428571428578</v>
      </c>
      <c r="E56" s="2"/>
      <c r="F56" s="38"/>
      <c r="G56" s="38"/>
    </row>
    <row r="57" spans="1:7" ht="30">
      <c r="A57" s="52" t="s">
        <v>198</v>
      </c>
      <c r="B57" s="55" t="s">
        <v>199</v>
      </c>
      <c r="C57" s="54" t="s">
        <v>186</v>
      </c>
      <c r="D57" s="54">
        <f>D56-D55</f>
        <v>594</v>
      </c>
      <c r="E57" s="2"/>
      <c r="F57" s="38"/>
      <c r="G57" s="38"/>
    </row>
    <row r="58" spans="1:7">
      <c r="E58" s="2"/>
      <c r="F58" s="38"/>
      <c r="G58" s="38"/>
    </row>
    <row r="59" spans="1:7">
      <c r="E59" s="2"/>
      <c r="F59" s="38"/>
      <c r="G59" s="38"/>
    </row>
    <row r="60" spans="1:7">
      <c r="E60" s="2"/>
      <c r="F60" s="38"/>
      <c r="G60" s="38"/>
    </row>
    <row r="61" spans="1:7">
      <c r="E61" s="2"/>
      <c r="F61" s="38"/>
      <c r="G61" s="38"/>
    </row>
    <row r="62" spans="1:7">
      <c r="E62" s="2"/>
      <c r="F62" s="38"/>
      <c r="G62" s="38"/>
    </row>
    <row r="63" spans="1:7">
      <c r="E63" s="2"/>
      <c r="F63" s="38"/>
      <c r="G63" s="38"/>
    </row>
    <row r="64" spans="1:7">
      <c r="E64" s="2"/>
      <c r="F64" s="38"/>
      <c r="G64" s="38"/>
    </row>
    <row r="65" spans="1:7">
      <c r="E65" s="2"/>
      <c r="F65" s="38"/>
      <c r="G65" s="38"/>
    </row>
    <row r="66" spans="1:7">
      <c r="E66" s="2"/>
      <c r="F66" s="38"/>
      <c r="G66" s="38"/>
    </row>
    <row r="67" spans="1:7">
      <c r="E67" s="2"/>
      <c r="F67" s="38"/>
      <c r="G67" s="38"/>
    </row>
    <row r="68" spans="1:7">
      <c r="A68" s="44"/>
      <c r="B68" s="44"/>
      <c r="C68" s="42"/>
      <c r="D68" s="42"/>
      <c r="E68" s="43"/>
    </row>
  </sheetData>
  <sheetProtection sheet="1" objects="1" scenarios="1"/>
  <mergeCells count="6">
    <mergeCell ref="A43:D43"/>
    <mergeCell ref="A1:D2"/>
    <mergeCell ref="A4:D4"/>
    <mergeCell ref="A11:D11"/>
    <mergeCell ref="A24:D24"/>
    <mergeCell ref="A31:D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Баланс</vt:lpstr>
      <vt:lpstr>Баланс_Нетто</vt:lpstr>
      <vt:lpstr>Звіт_фін_рез</vt:lpstr>
      <vt:lpstr>Коефти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2017-11-20T22:12:56Z</dcterms:modified>
</cp:coreProperties>
</file>