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fabie\Universität St.Gallen\Software-Engineering\"/>
    </mc:Choice>
  </mc:AlternateContent>
  <xr:revisionPtr revIDLastSave="0" documentId="13_ncr:1_{9693E410-02C7-48E4-9DA5-FE58CA0CDF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22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22" l="1"/>
  <c r="U20" i="22"/>
  <c r="U19" i="22"/>
  <c r="U18" i="22"/>
  <c r="U17" i="22"/>
  <c r="U16" i="22"/>
  <c r="U15" i="22"/>
  <c r="U14" i="22"/>
  <c r="U13" i="22"/>
  <c r="U12" i="22"/>
  <c r="U11" i="22"/>
  <c r="T21" i="22"/>
  <c r="T20" i="22"/>
  <c r="T19" i="22"/>
  <c r="T18" i="22"/>
  <c r="T17" i="22"/>
  <c r="T16" i="22"/>
  <c r="T15" i="22"/>
  <c r="T14" i="22"/>
  <c r="T13" i="22"/>
  <c r="T12" i="22"/>
  <c r="T11" i="22"/>
  <c r="R21" i="22"/>
  <c r="R20" i="22"/>
  <c r="R19" i="22"/>
  <c r="R18" i="22"/>
  <c r="R17" i="22"/>
  <c r="R16" i="22"/>
  <c r="R15" i="22"/>
  <c r="R14" i="22"/>
  <c r="R13" i="22"/>
  <c r="R12" i="22"/>
  <c r="R11" i="22"/>
  <c r="R10" i="22"/>
  <c r="R9" i="22"/>
  <c r="R8" i="22"/>
  <c r="R7" i="22"/>
  <c r="R6" i="22"/>
  <c r="R5" i="22"/>
  <c r="R4" i="22"/>
  <c r="R3" i="22"/>
  <c r="R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4" i="22"/>
  <c r="Q3" i="22"/>
  <c r="Q2" i="22"/>
  <c r="P21" i="22"/>
  <c r="P20" i="22"/>
  <c r="P19" i="22"/>
  <c r="P18" i="22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5" i="22"/>
  <c r="N4" i="22"/>
  <c r="N3" i="22"/>
  <c r="N2" i="22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4" i="22"/>
  <c r="M3" i="22"/>
  <c r="M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2" i="22"/>
  <c r="K3" i="22"/>
  <c r="K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2" i="22"/>
  <c r="G21" i="22"/>
  <c r="G20" i="22"/>
  <c r="G19" i="22"/>
  <c r="G18" i="22"/>
  <c r="G17" i="22"/>
  <c r="G16" i="22"/>
  <c r="G15" i="22"/>
  <c r="G14" i="22"/>
  <c r="G13" i="22"/>
  <c r="G12" i="22"/>
  <c r="G11" i="22"/>
  <c r="F21" i="22"/>
  <c r="F20" i="22"/>
  <c r="F19" i="22"/>
  <c r="F18" i="22"/>
  <c r="F17" i="22"/>
  <c r="F16" i="22"/>
  <c r="F15" i="22"/>
  <c r="F14" i="22"/>
  <c r="F13" i="22"/>
  <c r="F12" i="22"/>
  <c r="F11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</calcChain>
</file>

<file path=xl/sharedStrings.xml><?xml version="1.0" encoding="utf-8"?>
<sst xmlns="http://schemas.openxmlformats.org/spreadsheetml/2006/main" count="56" uniqueCount="18">
  <si>
    <t>Erwerbstätige,Total</t>
  </si>
  <si>
    <t>Schweizer/innen</t>
  </si>
  <si>
    <t>Ausländer/innen</t>
  </si>
  <si>
    <t>Nationalität</t>
  </si>
  <si>
    <r>
      <t xml:space="preserve">EU/EFTA/UK </t>
    </r>
    <r>
      <rPr>
        <vertAlign val="superscript"/>
        <sz val="8"/>
        <rFont val="Arial"/>
        <family val="2"/>
      </rPr>
      <t>1</t>
    </r>
  </si>
  <si>
    <t>…</t>
  </si>
  <si>
    <t>Drittstaaten</t>
  </si>
  <si>
    <t>Aufenthaltsstatus</t>
  </si>
  <si>
    <t>Niedergelassene</t>
  </si>
  <si>
    <t>Aufenthalter/innen</t>
  </si>
  <si>
    <t>Saisonniers</t>
  </si>
  <si>
    <r>
      <t xml:space="preserve">Grenzgänger/innen </t>
    </r>
    <r>
      <rPr>
        <vertAlign val="superscript"/>
        <sz val="8"/>
        <rFont val="Arial"/>
        <family val="2"/>
      </rPr>
      <t>2</t>
    </r>
  </si>
  <si>
    <t>Kurzaufenthalter/innen</t>
  </si>
  <si>
    <r>
      <t xml:space="preserve">Übrige Ausländer/innen </t>
    </r>
    <r>
      <rPr>
        <vertAlign val="superscript"/>
        <sz val="8"/>
        <rFont val="Arial"/>
        <family val="2"/>
      </rPr>
      <t xml:space="preserve">3 </t>
    </r>
  </si>
  <si>
    <t>Geschlecht</t>
  </si>
  <si>
    <t>Erwerbstätige, Männer</t>
  </si>
  <si>
    <t xml:space="preserve">Schweizer </t>
  </si>
  <si>
    <t xml:space="preserve">Ausländer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</si>
</sst>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\ "/>
    <numFmt numFmtId="165" formatCode="#\ ###\ ##0__;\-#\ ###\ ##0__;0__;@__\ "/>
  </numFmts>
  <fonts count="8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12"/>
      <name val="Times New Roman"/>
      <family val="1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1" applyFont="1" applyAlignment="1">
      <alignment horizontal="left" vertical="center" indent="1"/>
    </xf>
    <xf numFmtId="0" fontId="2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1" fillId="0" borderId="0" xfId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2" xfId="1" applyFont="1" applyBorder="1" applyAlignment="1">
      <alignment horizontal="right" vertical="top" wrapText="1"/>
    </xf>
    <xf numFmtId="0" fontId="3" fillId="0" borderId="1" xfId="1" applyFont="1" applyBorder="1" applyAlignment="1">
      <alignment horizontal="right" vertical="center"/>
    </xf>
    <xf numFmtId="0" fontId="1" fillId="0" borderId="0" xfId="1" applyAlignment="1">
      <alignment horizontal="right"/>
    </xf>
    <xf numFmtId="0" fontId="3" fillId="0" borderId="3" xfId="1" applyFont="1" applyBorder="1" applyAlignment="1">
      <alignment horizontal="right" vertical="center"/>
    </xf>
    <xf numFmtId="14" fontId="6" fillId="3" borderId="0" xfId="2" applyNumberFormat="1" applyFont="1" applyFill="1" applyAlignment="1">
      <alignment horizontal="left" vertical="center"/>
    </xf>
    <xf numFmtId="165" fontId="7" fillId="2" borderId="0" xfId="1" applyNumberFormat="1" applyFont="1" applyFill="1" applyAlignment="1">
      <alignment horizontal="right" vertical="center"/>
    </xf>
    <xf numFmtId="165" fontId="6" fillId="2" borderId="0" xfId="1" applyNumberFormat="1" applyFont="1" applyFill="1" applyAlignment="1">
      <alignment horizontal="right" vertical="center"/>
    </xf>
    <xf numFmtId="14" fontId="3" fillId="3" borderId="0" xfId="2" applyNumberFormat="1" applyFont="1" applyFill="1" applyAlignment="1">
      <alignment horizontal="left" vertical="center"/>
    </xf>
  </cellXfs>
  <cellStyles count="3">
    <cellStyle name="Normal 2" xfId="1" xr:uid="{00000000-0005-0000-0000-000001000000}"/>
    <cellStyle name="Normal_F_02AMI27-37 (b)" xfId="2" xr:uid="{00000000-0005-0000-0000-000002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Personnalisé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E8EAF7"/>
      </a:accent6>
      <a:hlink>
        <a:srgbClr val="0563C1"/>
      </a:hlink>
      <a:folHlink>
        <a:srgbClr val="E8EAF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977D-E5B9-4EB9-8F9F-C15608CB0528}">
  <dimension ref="A1:U41"/>
  <sheetViews>
    <sheetView tabSelected="1" topLeftCell="G1" workbookViewId="0">
      <selection activeCell="U22" sqref="U22"/>
    </sheetView>
  </sheetViews>
  <sheetFormatPr baseColWidth="10" defaultRowHeight="12.5" x14ac:dyDescent="0.25"/>
  <cols>
    <col min="2" max="2" width="14.26953125" bestFit="1" customWidth="1"/>
  </cols>
  <sheetData>
    <row r="1" spans="1:21" x14ac:dyDescent="0.25">
      <c r="A1" s="7"/>
      <c r="B1" s="2" t="s">
        <v>0</v>
      </c>
      <c r="C1" s="1" t="s">
        <v>1</v>
      </c>
      <c r="D1" s="1" t="s">
        <v>2</v>
      </c>
      <c r="E1" s="11" t="s">
        <v>3</v>
      </c>
      <c r="F1" s="1" t="s">
        <v>4</v>
      </c>
      <c r="G1" s="1" t="s">
        <v>6</v>
      </c>
      <c r="H1" s="1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3" t="s">
        <v>15</v>
      </c>
      <c r="Q1" s="1" t="s">
        <v>16</v>
      </c>
      <c r="R1" s="1" t="s">
        <v>17</v>
      </c>
      <c r="S1" s="11" t="s">
        <v>3</v>
      </c>
      <c r="T1" s="1" t="s">
        <v>4</v>
      </c>
      <c r="U1" s="1" t="s">
        <v>6</v>
      </c>
    </row>
    <row r="2" spans="1:21" x14ac:dyDescent="0.25">
      <c r="A2" s="8">
        <v>2001</v>
      </c>
      <c r="B2" s="12">
        <f>4088.69357376823*1000</f>
        <v>4088693.5737682302</v>
      </c>
      <c r="C2" s="13">
        <f>3080.81988267661*1000</f>
        <v>3080819.8826766103</v>
      </c>
      <c r="D2" s="13">
        <f>1007.87369109162*1000</f>
        <v>1007873.69109162</v>
      </c>
      <c r="E2" s="11"/>
      <c r="F2" s="13" t="s">
        <v>5</v>
      </c>
      <c r="G2" s="13" t="s">
        <v>5</v>
      </c>
      <c r="H2" s="11"/>
      <c r="I2" s="13">
        <f>600.837869823122*1000</f>
        <v>600837.86982312205</v>
      </c>
      <c r="J2" s="13">
        <f>189.910456806384*1000</f>
        <v>189910.456806384</v>
      </c>
      <c r="K2" s="13">
        <f>25.6549530963517*1000</f>
        <v>25654.953096351699</v>
      </c>
      <c r="L2" s="13">
        <f>153.907975*1000</f>
        <v>153907.97500000001</v>
      </c>
      <c r="M2" s="13">
        <f>21.9485613657624*1000</f>
        <v>21948.561365762402</v>
      </c>
      <c r="N2" s="13">
        <f>15.613875*1000</f>
        <v>15613.875</v>
      </c>
      <c r="O2" s="11"/>
      <c r="P2" s="13">
        <f>2293.21646078352*1000</f>
        <v>2293216.4607835198</v>
      </c>
      <c r="Q2" s="13">
        <f>1669.41133502794*1000</f>
        <v>1669411.3350279399</v>
      </c>
      <c r="R2" s="13">
        <f>623.805125755585*1000</f>
        <v>623805.12575558503</v>
      </c>
      <c r="S2" s="11"/>
      <c r="T2" s="13" t="s">
        <v>5</v>
      </c>
      <c r="U2" s="13" t="s">
        <v>5</v>
      </c>
    </row>
    <row r="3" spans="1:21" x14ac:dyDescent="0.25">
      <c r="A3" s="8">
        <v>2002</v>
      </c>
      <c r="B3" s="12">
        <f>4117.90898823417*1000</f>
        <v>4117908.9882341698</v>
      </c>
      <c r="C3" s="13">
        <f>3103.67731489731*1000</f>
        <v>3103677.3148973105</v>
      </c>
      <c r="D3" s="13">
        <f>1014.23167333686*1000</f>
        <v>1014231.67333686</v>
      </c>
      <c r="E3" s="11"/>
      <c r="F3" s="13" t="s">
        <v>5</v>
      </c>
      <c r="G3" s="13" t="s">
        <v>5</v>
      </c>
      <c r="H3" s="11"/>
      <c r="I3" s="13">
        <f>588.993083453069*1000</f>
        <v>588993.08345306898</v>
      </c>
      <c r="J3" s="13">
        <f>198.695707177987*1000</f>
        <v>198695.707177987</v>
      </c>
      <c r="K3" s="13">
        <f>20.4462297591207*1000</f>
        <v>20446.229759120703</v>
      </c>
      <c r="L3" s="13">
        <f>161.1649*1000</f>
        <v>161164.9</v>
      </c>
      <c r="M3" s="13">
        <f>31.1798779466791*1000</f>
        <v>31179.877946679098</v>
      </c>
      <c r="N3" s="13">
        <f>13.751875*1000</f>
        <v>13751.875</v>
      </c>
      <c r="O3" s="11"/>
      <c r="P3" s="13">
        <f>2290.1066867176*1000</f>
        <v>2290106.6867176001</v>
      </c>
      <c r="Q3" s="13">
        <f>1670.22478836514*1000</f>
        <v>1670224.7883651401</v>
      </c>
      <c r="R3" s="13">
        <f>619.881898352462*1000</f>
        <v>619881.89835246198</v>
      </c>
      <c r="S3" s="11"/>
      <c r="T3" s="13" t="s">
        <v>5</v>
      </c>
      <c r="U3" s="13" t="s">
        <v>5</v>
      </c>
    </row>
    <row r="4" spans="1:21" x14ac:dyDescent="0.25">
      <c r="A4" s="8">
        <v>2003</v>
      </c>
      <c r="B4" s="12">
        <f>4103.21745913019*1000</f>
        <v>4103217.4591301898</v>
      </c>
      <c r="C4" s="13">
        <f>3093.19743692009*1000</f>
        <v>3093197.4369200896</v>
      </c>
      <c r="D4" s="13">
        <f>1010.0200222101*1000</f>
        <v>1010020.0222101</v>
      </c>
      <c r="E4" s="11"/>
      <c r="F4" s="13" t="s">
        <v>5</v>
      </c>
      <c r="G4" s="13" t="s">
        <v>5</v>
      </c>
      <c r="H4" s="11"/>
      <c r="I4" s="13">
        <f>572.573683164916*1000</f>
        <v>572573.683164916</v>
      </c>
      <c r="J4" s="13">
        <f>202.146738735462*1000</f>
        <v>202146.73873546202</v>
      </c>
      <c r="K4" s="13">
        <v>0.22003472637979421</v>
      </c>
      <c r="L4" s="13">
        <f>166.66435*1000</f>
        <v>166664.35</v>
      </c>
      <c r="M4" s="13">
        <f>56.32721558334*1000</f>
        <v>56327.215583339996</v>
      </c>
      <c r="N4" s="13">
        <f>12.088*1000</f>
        <v>12088</v>
      </c>
      <c r="O4" s="11"/>
      <c r="P4" s="13">
        <f>2276.23600723116*1000</f>
        <v>2276236.0072311601</v>
      </c>
      <c r="Q4" s="13">
        <f>1657.66420298888*1000</f>
        <v>1657664.2029888802</v>
      </c>
      <c r="R4" s="13">
        <f>618.571804242281*1000</f>
        <v>618571.80424228101</v>
      </c>
      <c r="S4" s="11"/>
      <c r="T4" s="13" t="s">
        <v>5</v>
      </c>
      <c r="U4" s="13" t="s">
        <v>5</v>
      </c>
    </row>
    <row r="5" spans="1:21" x14ac:dyDescent="0.25">
      <c r="A5" s="8">
        <v>2004</v>
      </c>
      <c r="B5" s="12">
        <f>4114.56435297193*1000</f>
        <v>4114564.3529719301</v>
      </c>
      <c r="C5" s="13">
        <f>3095.49399373194*1000</f>
        <v>3095493.9937319402</v>
      </c>
      <c r="D5" s="13">
        <f>1019.07035923998*1000</f>
        <v>1019070.35923998</v>
      </c>
      <c r="E5" s="11"/>
      <c r="F5" s="13" t="s">
        <v>5</v>
      </c>
      <c r="G5" s="13" t="s">
        <v>5</v>
      </c>
      <c r="H5" s="11"/>
      <c r="I5" s="13">
        <f>562.120427951114*1000</f>
        <v>562120.42795111402</v>
      </c>
      <c r="J5" s="13">
        <f>217.140970574199*1000</f>
        <v>217140.97057419899</v>
      </c>
      <c r="K5" s="13">
        <v>0</v>
      </c>
      <c r="L5" s="13">
        <f>172.5933875*1000</f>
        <v>172593.38750000001</v>
      </c>
      <c r="M5" s="13">
        <f>54.549270731986*1000</f>
        <v>54549.270731985998</v>
      </c>
      <c r="N5" s="13">
        <f>12.6663024826852*1000</f>
        <v>12666.3024826852</v>
      </c>
      <c r="O5" s="11"/>
      <c r="P5" s="13">
        <f>2282.05952229092*1000</f>
        <v>2282059.5222909199</v>
      </c>
      <c r="Q5" s="13">
        <f>1657.43995141123*1000</f>
        <v>1657439.95141123</v>
      </c>
      <c r="R5" s="13">
        <f>624.619570879685*1000</f>
        <v>624619.57087968511</v>
      </c>
      <c r="S5" s="11"/>
      <c r="T5" s="13" t="s">
        <v>5</v>
      </c>
      <c r="U5" s="13" t="s">
        <v>5</v>
      </c>
    </row>
    <row r="6" spans="1:21" x14ac:dyDescent="0.25">
      <c r="A6" s="8">
        <v>2005</v>
      </c>
      <c r="B6" s="12">
        <f>4144.66360917273*1000</f>
        <v>4144663.6091727298</v>
      </c>
      <c r="C6" s="13">
        <f>3108.11960551933*1000</f>
        <v>3108119.6055193301</v>
      </c>
      <c r="D6" s="13">
        <f>1036.5440036534*1000</f>
        <v>1036544.0036534001</v>
      </c>
      <c r="E6" s="11"/>
      <c r="F6" s="13" t="s">
        <v>5</v>
      </c>
      <c r="G6" s="13" t="s">
        <v>5</v>
      </c>
      <c r="H6" s="11"/>
      <c r="I6" s="13">
        <f>556.365835100902*1000</f>
        <v>556365.83510090201</v>
      </c>
      <c r="J6" s="13">
        <f>231.555130232736*1000</f>
        <v>231555.130232736</v>
      </c>
      <c r="K6" s="13">
        <v>0</v>
      </c>
      <c r="L6" s="13">
        <f>175.89445*1000</f>
        <v>175894.45</v>
      </c>
      <c r="M6" s="13">
        <f>55.0352052268392*1000</f>
        <v>55035.2052268392</v>
      </c>
      <c r="N6" s="13">
        <f>17.6933830929244*1000</f>
        <v>17693.3830929244</v>
      </c>
      <c r="O6" s="11"/>
      <c r="P6" s="13">
        <f>2294.138658346*1000</f>
        <v>2294138.6583459997</v>
      </c>
      <c r="Q6" s="13">
        <f>1658.78056960743*1000</f>
        <v>1658780.5696074299</v>
      </c>
      <c r="R6" s="13">
        <f>635.358088738567*1000</f>
        <v>635358.08873856696</v>
      </c>
      <c r="S6" s="11"/>
      <c r="T6" s="13" t="s">
        <v>5</v>
      </c>
      <c r="U6" s="13" t="s">
        <v>5</v>
      </c>
    </row>
    <row r="7" spans="1:21" x14ac:dyDescent="0.25">
      <c r="A7" s="8">
        <v>2006</v>
      </c>
      <c r="B7" s="12">
        <f>4234.93210611727*1000</f>
        <v>4234932.1061172709</v>
      </c>
      <c r="C7" s="13">
        <f>3160.95671287899*1000</f>
        <v>3160956.71287899</v>
      </c>
      <c r="D7" s="13">
        <f>1073.97539323828*1000</f>
        <v>1073975.39323828</v>
      </c>
      <c r="E7" s="11"/>
      <c r="F7" s="13" t="s">
        <v>5</v>
      </c>
      <c r="G7" s="13" t="s">
        <v>5</v>
      </c>
      <c r="H7" s="11"/>
      <c r="I7" s="13">
        <f>554.417033566248*1000</f>
        <v>554417.03356624802</v>
      </c>
      <c r="J7" s="13">
        <f>253.280925729227*1000</f>
        <v>253280.92572922699</v>
      </c>
      <c r="K7" s="13">
        <v>0</v>
      </c>
      <c r="L7" s="13">
        <f>185.646125*1000</f>
        <v>185646.125</v>
      </c>
      <c r="M7" s="13">
        <f>62.2233897216923*1000</f>
        <v>62223.3897216923</v>
      </c>
      <c r="N7" s="13">
        <f>18.4079192211084*1000</f>
        <v>18407.919221108401</v>
      </c>
      <c r="O7" s="11"/>
      <c r="P7" s="13">
        <f>2343.68972404522*1000</f>
        <v>2343689.7240452198</v>
      </c>
      <c r="Q7" s="13">
        <f>1684.30799644624*1000</f>
        <v>1684307.99644624</v>
      </c>
      <c r="R7" s="13">
        <f>659.38172759898*1000</f>
        <v>659381.72759897995</v>
      </c>
      <c r="S7" s="11"/>
      <c r="T7" s="13" t="s">
        <v>5</v>
      </c>
      <c r="U7" s="13" t="s">
        <v>5</v>
      </c>
    </row>
    <row r="8" spans="1:21" x14ac:dyDescent="0.25">
      <c r="A8" s="8">
        <v>2007</v>
      </c>
      <c r="B8" s="12">
        <f>4344.2744162789*1000</f>
        <v>4344274.4162789006</v>
      </c>
      <c r="C8" s="13">
        <f>3220.44314898347*1000</f>
        <v>3220443.1489834702</v>
      </c>
      <c r="D8" s="13">
        <f>1123.83126729544*1000</f>
        <v>1123831.26729544</v>
      </c>
      <c r="E8" s="11"/>
      <c r="F8" s="13" t="s">
        <v>5</v>
      </c>
      <c r="G8" s="13" t="s">
        <v>5</v>
      </c>
      <c r="H8" s="11"/>
      <c r="I8" s="13">
        <f>566.353883665626*1000</f>
        <v>566353.88366562594</v>
      </c>
      <c r="J8" s="13">
        <f>270.206031009835*1000</f>
        <v>270206.03100983496</v>
      </c>
      <c r="K8" s="13">
        <v>0</v>
      </c>
      <c r="L8" s="13">
        <f>202.8468375*1000</f>
        <v>202846.83749999999</v>
      </c>
      <c r="M8" s="13">
        <f>64.8826992165455*1000</f>
        <v>64882.699216545501</v>
      </c>
      <c r="N8" s="13">
        <f>19.5418159034298*1000</f>
        <v>19541.815903429801</v>
      </c>
      <c r="O8" s="11"/>
      <c r="P8" s="13">
        <f>2407.33630775326*1000</f>
        <v>2407336.3077532598</v>
      </c>
      <c r="Q8" s="13">
        <f>1716.44222605394*1000</f>
        <v>1716442.2260539399</v>
      </c>
      <c r="R8" s="13">
        <f>690.894081699318*1000</f>
        <v>690894.08169931802</v>
      </c>
      <c r="S8" s="11"/>
      <c r="T8" s="13" t="s">
        <v>5</v>
      </c>
      <c r="U8" s="13" t="s">
        <v>5</v>
      </c>
    </row>
    <row r="9" spans="1:21" x14ac:dyDescent="0.25">
      <c r="A9" s="8">
        <v>2008</v>
      </c>
      <c r="B9" s="12">
        <f>4448.26302190877*1000</f>
        <v>4448263.0219087694</v>
      </c>
      <c r="C9" s="13">
        <f>3272.59199885327*1000</f>
        <v>3272591.99885327</v>
      </c>
      <c r="D9" s="13">
        <f>1175.6710230555*1000</f>
        <v>1175671.0230554999</v>
      </c>
      <c r="E9" s="11"/>
      <c r="F9" s="13" t="s">
        <v>5</v>
      </c>
      <c r="G9" s="13" t="s">
        <v>5</v>
      </c>
      <c r="H9" s="11"/>
      <c r="I9" s="13">
        <f>584.347347400753*1000</f>
        <v>584347.34740075306</v>
      </c>
      <c r="J9" s="13">
        <f>306.034933922072*1000</f>
        <v>306034.933922072</v>
      </c>
      <c r="K9" s="13">
        <v>0</v>
      </c>
      <c r="L9" s="13">
        <f>214.3765625*1000</f>
        <v>214376.5625</v>
      </c>
      <c r="M9" s="13">
        <f>49.7378837113986*1000</f>
        <v>49737.883711398601</v>
      </c>
      <c r="N9" s="13">
        <f>21.1742955212744*1000</f>
        <v>21174.295521274398</v>
      </c>
      <c r="O9" s="11"/>
      <c r="P9" s="13">
        <f>2442.85464863037*1000</f>
        <v>2442854.6486303699</v>
      </c>
      <c r="Q9" s="13">
        <f>1726.92159968205*1000</f>
        <v>1726921.5996820501</v>
      </c>
      <c r="R9" s="13">
        <f>715.933048948319*1000</f>
        <v>715933.04894831893</v>
      </c>
      <c r="S9" s="11"/>
      <c r="T9" s="13" t="s">
        <v>5</v>
      </c>
      <c r="U9" s="13" t="s">
        <v>5</v>
      </c>
    </row>
    <row r="10" spans="1:21" x14ac:dyDescent="0.25">
      <c r="A10" s="8">
        <v>2009</v>
      </c>
      <c r="B10" s="12">
        <f>4469.11498493507*1000</f>
        <v>4469114.9849350704</v>
      </c>
      <c r="C10" s="13">
        <f>3265.23633823418*1000</f>
        <v>3265236.3382341801</v>
      </c>
      <c r="D10" s="13">
        <f>1203.8786467009*1000</f>
        <v>1203878.6467009</v>
      </c>
      <c r="E10" s="11"/>
      <c r="F10" s="13" t="s">
        <v>5</v>
      </c>
      <c r="G10" s="13" t="s">
        <v>5</v>
      </c>
      <c r="H10" s="11"/>
      <c r="I10" s="13">
        <f>588.872195341629*1000</f>
        <v>588872.19534162898</v>
      </c>
      <c r="J10" s="13">
        <f>330.305112042286*1000</f>
        <v>330305.11204228603</v>
      </c>
      <c r="K10" s="13">
        <v>0</v>
      </c>
      <c r="L10" s="13">
        <f>219.5538625*1000</f>
        <v>219553.86250000002</v>
      </c>
      <c r="M10" s="13">
        <f>46.4674432062518*1000</f>
        <v>46467.443206251803</v>
      </c>
      <c r="N10" s="13">
        <f>18.6800336107298*1000</f>
        <v>18680.033610729803</v>
      </c>
      <c r="O10" s="11"/>
      <c r="P10" s="13">
        <f>2441.57815945895*1000</f>
        <v>2441578.1594589497</v>
      </c>
      <c r="Q10" s="13">
        <f>1710.46368132056*1000</f>
        <v>1710463.6813205599</v>
      </c>
      <c r="R10" s="13">
        <f>731.114478138391*1000</f>
        <v>731114.47813839093</v>
      </c>
      <c r="S10" s="11"/>
      <c r="T10" s="13" t="s">
        <v>5</v>
      </c>
      <c r="U10" s="13" t="s">
        <v>5</v>
      </c>
    </row>
    <row r="11" spans="1:21" x14ac:dyDescent="0.25">
      <c r="A11" s="8">
        <v>2010</v>
      </c>
      <c r="B11" s="12">
        <f>4481.7112809997*1000</f>
        <v>4481711.2809996996</v>
      </c>
      <c r="C11" s="13">
        <f>3267.24598583333*1000</f>
        <v>3267245.9858333301</v>
      </c>
      <c r="D11" s="13">
        <f>1214.46529516637*1000</f>
        <v>1214465.29516637</v>
      </c>
      <c r="E11" s="11"/>
      <c r="F11" s="13">
        <f>921.102209658304*1000</f>
        <v>921102.209658304</v>
      </c>
      <c r="G11" s="13">
        <f>293.363085508064*1000</f>
        <v>293363.08550806402</v>
      </c>
      <c r="H11" s="11"/>
      <c r="I11" s="13">
        <f>589.139*1000</f>
        <v>589139</v>
      </c>
      <c r="J11" s="13">
        <f>331.09225*1000</f>
        <v>331092.25</v>
      </c>
      <c r="K11" s="13">
        <v>0</v>
      </c>
      <c r="L11" s="13">
        <f>231.3453625*1000</f>
        <v>231345.36249999999</v>
      </c>
      <c r="M11" s="13">
        <f>45.0574343939967*1000</f>
        <v>45057.4343939967</v>
      </c>
      <c r="N11" s="13">
        <f>17.8312482723709*1000</f>
        <v>17831.2482723709</v>
      </c>
      <c r="O11" s="11"/>
      <c r="P11" s="13">
        <f>2468.10395775329*1000</f>
        <v>2468103.95775329</v>
      </c>
      <c r="Q11" s="13">
        <f>1726.38909597334*1000</f>
        <v>1726389.0959733401</v>
      </c>
      <c r="R11" s="13">
        <f>741.714861779945*1000</f>
        <v>741714.86177994497</v>
      </c>
      <c r="S11" s="11"/>
      <c r="T11" s="13">
        <f>570.878395895186*1000</f>
        <v>570878.395895186</v>
      </c>
      <c r="U11" s="13">
        <f>170.836465884759*1000</f>
        <v>170836.465884759</v>
      </c>
    </row>
    <row r="12" spans="1:21" x14ac:dyDescent="0.25">
      <c r="A12" s="8">
        <v>2011</v>
      </c>
      <c r="B12" s="12">
        <f>4597.58118271642*1000</f>
        <v>4597581.1827164199</v>
      </c>
      <c r="C12" s="13">
        <f>3308.12471083333*1000</f>
        <v>3308124.7108333302</v>
      </c>
      <c r="D12" s="13">
        <f>1289.45647188308*1000</f>
        <v>1289456.47188308</v>
      </c>
      <c r="E12" s="11"/>
      <c r="F12" s="13">
        <f>986.232084860818*1000</f>
        <v>986232.08486081799</v>
      </c>
      <c r="G12" s="13">
        <f>303.224387022264*1000</f>
        <v>303224.38702226401</v>
      </c>
      <c r="H12" s="11"/>
      <c r="I12" s="13">
        <f>601.6165*1000</f>
        <v>601616.5</v>
      </c>
      <c r="J12" s="13">
        <f>370.023*1000</f>
        <v>370023</v>
      </c>
      <c r="K12" s="13">
        <v>0</v>
      </c>
      <c r="L12" s="13">
        <f>247.8911875*1000</f>
        <v>247891.1875</v>
      </c>
      <c r="M12" s="13">
        <f>47.9641614706787*1000</f>
        <v>47964.161470678693</v>
      </c>
      <c r="N12" s="13">
        <f>21.9616229124037*1000</f>
        <v>21961.622912403702</v>
      </c>
      <c r="O12" s="11"/>
      <c r="P12" s="13">
        <f>2531.50625639196*1000</f>
        <v>2531506.2563919602</v>
      </c>
      <c r="Q12" s="13">
        <f>1746.17286253625*1000</f>
        <v>1746172.8625362499</v>
      </c>
      <c r="R12" s="13">
        <f>785.333393855715*1000</f>
        <v>785333.39385571505</v>
      </c>
      <c r="S12" s="11"/>
      <c r="T12" s="13">
        <f>609.203744365328*1000</f>
        <v>609203.74436532799</v>
      </c>
      <c r="U12" s="13">
        <f>176.129649490387*1000</f>
        <v>176129.649490387</v>
      </c>
    </row>
    <row r="13" spans="1:21" x14ac:dyDescent="0.25">
      <c r="A13" s="8">
        <v>2012</v>
      </c>
      <c r="B13" s="12">
        <f>4679.46702332813*1000</f>
        <v>4679467.0233281301</v>
      </c>
      <c r="C13" s="13">
        <f>3329.36430833333*1000</f>
        <v>3329364.3083333299</v>
      </c>
      <c r="D13" s="13">
        <f>1350.1027149948*1000</f>
        <v>1350102.7149948</v>
      </c>
      <c r="E13" s="11"/>
      <c r="F13" s="13">
        <f>1043.28948074191*1000</f>
        <v>1043289.4807419099</v>
      </c>
      <c r="G13" s="13">
        <f>306.813234252884*1000</f>
        <v>306813.23425288399</v>
      </c>
      <c r="H13" s="11"/>
      <c r="I13" s="13">
        <f>621.19275*1000</f>
        <v>621192.75</v>
      </c>
      <c r="J13" s="13">
        <f>389.46225*1000</f>
        <v>389462.25</v>
      </c>
      <c r="K13" s="13">
        <v>0</v>
      </c>
      <c r="L13" s="13">
        <f>266.0811625*1000</f>
        <v>266081.16249999998</v>
      </c>
      <c r="M13" s="13">
        <f>48.2496726340771*1000</f>
        <v>48249.672634077098</v>
      </c>
      <c r="N13" s="13">
        <f>25.1168798607181*1000</f>
        <v>25116.879860718102</v>
      </c>
      <c r="O13" s="11"/>
      <c r="P13" s="13">
        <f>2569.76658346002*1000</f>
        <v>2569766.5834600199</v>
      </c>
      <c r="Q13" s="13">
        <f>1755.17566972246*1000</f>
        <v>1755175.66972246</v>
      </c>
      <c r="R13" s="13">
        <f>814.590913737561*1000</f>
        <v>814590.91373756097</v>
      </c>
      <c r="S13" s="11"/>
      <c r="T13" s="13">
        <f>639.814022743656*1000</f>
        <v>639814.02274365595</v>
      </c>
      <c r="U13" s="13">
        <f>174.776890993905*1000</f>
        <v>174776.89099390499</v>
      </c>
    </row>
    <row r="14" spans="1:21" x14ac:dyDescent="0.25">
      <c r="A14" s="8">
        <v>2013</v>
      </c>
      <c r="B14" s="12">
        <f>4736.04980698741*1000</f>
        <v>4736049.8069874104</v>
      </c>
      <c r="C14" s="13">
        <f>3341.91004333333*1000</f>
        <v>3341910.0433333302</v>
      </c>
      <c r="D14" s="13">
        <f>1394.13976365408*1000</f>
        <v>1394139.76365408</v>
      </c>
      <c r="E14" s="11"/>
      <c r="F14" s="13">
        <f>1087.65319982355*1000</f>
        <v>1087653.1998235499</v>
      </c>
      <c r="G14" s="13">
        <f>306.486563830522*1000</f>
        <v>306486.56383052201</v>
      </c>
      <c r="H14" s="11"/>
      <c r="I14" s="13">
        <f>657.16675*1000</f>
        <v>657166.75</v>
      </c>
      <c r="J14" s="13">
        <f>379.29075*1000</f>
        <v>379290.75</v>
      </c>
      <c r="K14" s="13">
        <v>0</v>
      </c>
      <c r="L14" s="13">
        <f>278.7419125*1000</f>
        <v>278741.91250000003</v>
      </c>
      <c r="M14" s="13">
        <f>52.2667508653957*1000</f>
        <v>52266.750865395697</v>
      </c>
      <c r="N14" s="13">
        <f>26.6736002886803*1000</f>
        <v>26673.6002886803</v>
      </c>
      <c r="O14" s="11"/>
      <c r="P14" s="13">
        <f>2593.32005700762*1000</f>
        <v>2593320.0570076201</v>
      </c>
      <c r="Q14" s="13">
        <f>1751.86323276863*1000</f>
        <v>1751863.2327686301</v>
      </c>
      <c r="R14" s="13">
        <f>841.456824238988*1000</f>
        <v>841456.82423898799</v>
      </c>
      <c r="S14" s="11"/>
      <c r="T14" s="13">
        <f>668.498562612599*1000</f>
        <v>668498.56261259899</v>
      </c>
      <c r="U14" s="13">
        <f>172.95826162639*1000</f>
        <v>172958.26162638998</v>
      </c>
    </row>
    <row r="15" spans="1:21" x14ac:dyDescent="0.25">
      <c r="A15" s="8">
        <v>2014</v>
      </c>
      <c r="B15" s="12">
        <f>4825.24988422212*1000</f>
        <v>4825249.88422212</v>
      </c>
      <c r="C15" s="13">
        <f>3373.26042083333*1000</f>
        <v>3373260.4208333301</v>
      </c>
      <c r="D15" s="13">
        <f>1451.98946338879*1000</f>
        <v>1451989.4633887899</v>
      </c>
      <c r="E15" s="11"/>
      <c r="F15" s="13">
        <f>1139.54793405713*1000</f>
        <v>1139547.93405713</v>
      </c>
      <c r="G15" s="13">
        <f>312.441529331653*1000</f>
        <v>312441.52933165297</v>
      </c>
      <c r="H15" s="11"/>
      <c r="I15" s="13">
        <f>683.75325*1000</f>
        <v>683753.25</v>
      </c>
      <c r="J15" s="13">
        <f>397.80425*1000</f>
        <v>397804.25</v>
      </c>
      <c r="K15" s="13">
        <v>0</v>
      </c>
      <c r="L15" s="13">
        <f>291.0699875*1000</f>
        <v>291069.98750000005</v>
      </c>
      <c r="M15" s="13">
        <f>52.4649126962857*1000</f>
        <v>52464.912696285704</v>
      </c>
      <c r="N15" s="13">
        <f>26.897063192502*1000</f>
        <v>26897.063192501999</v>
      </c>
      <c r="O15" s="11"/>
      <c r="P15" s="13">
        <f>2631.54661342551*1000</f>
        <v>2631546.61342551</v>
      </c>
      <c r="Q15" s="13">
        <f>1755.03494477193*1000</f>
        <v>1755034.9447719299</v>
      </c>
      <c r="R15" s="13">
        <f>876.511668653577*1000</f>
        <v>876511.66865357698</v>
      </c>
      <c r="S15" s="11"/>
      <c r="T15" s="13">
        <f>697.50039958197*1000</f>
        <v>697500.39958196995</v>
      </c>
      <c r="U15" s="13">
        <f>179.011269071607*1000</f>
        <v>179011.26907160698</v>
      </c>
    </row>
    <row r="16" spans="1:21" x14ac:dyDescent="0.25">
      <c r="A16" s="8">
        <v>2015</v>
      </c>
      <c r="B16" s="12">
        <f>4899.15481351659*1000</f>
        <v>4899154.8135165907</v>
      </c>
      <c r="C16" s="13">
        <f>3404.35893*1000</f>
        <v>3404358.9299999997</v>
      </c>
      <c r="D16" s="13">
        <f>1494.79588351659*1000</f>
        <v>1494795.8835165901</v>
      </c>
      <c r="E16" s="11"/>
      <c r="F16" s="13">
        <f>1175.19756723106*1000</f>
        <v>1175197.56723106</v>
      </c>
      <c r="G16" s="13">
        <f>319.598316285523*1000</f>
        <v>319598.316285523</v>
      </c>
      <c r="H16" s="11"/>
      <c r="I16" s="13">
        <f>699.31475*1000</f>
        <v>699314.75</v>
      </c>
      <c r="J16" s="13">
        <f>419.90175*1000</f>
        <v>419901.75</v>
      </c>
      <c r="K16" s="13">
        <v>0</v>
      </c>
      <c r="L16" s="13">
        <f>300.4104375*1000</f>
        <v>300410.4375</v>
      </c>
      <c r="M16" s="13">
        <f>49.1007958795825*1000</f>
        <v>49100.795879582496</v>
      </c>
      <c r="N16" s="13">
        <f>26.0681501370039*1000</f>
        <v>26068.1501370039</v>
      </c>
      <c r="O16" s="11"/>
      <c r="P16" s="13">
        <f>2666.4383678519*1000</f>
        <v>2666438.3678518999</v>
      </c>
      <c r="Q16" s="13">
        <f>1767.67786833102*1000</f>
        <v>1767677.86833102</v>
      </c>
      <c r="R16" s="13">
        <f>898.760499520884*1000</f>
        <v>898760.49952088401</v>
      </c>
      <c r="S16" s="11"/>
      <c r="T16" s="13">
        <f>716.071434580447*1000</f>
        <v>716071.43458044692</v>
      </c>
      <c r="U16" s="13">
        <f>182.689064940437*1000</f>
        <v>182689.06494043701</v>
      </c>
    </row>
    <row r="17" spans="1:21" x14ac:dyDescent="0.25">
      <c r="A17" s="8">
        <v>2016</v>
      </c>
      <c r="B17" s="12">
        <f>4967.2681786889*1000</f>
        <v>4967268.1786888996</v>
      </c>
      <c r="C17" s="13">
        <f>3441.66553333333*1000</f>
        <v>3441665.5333333299</v>
      </c>
      <c r="D17" s="13">
        <f>1525.60264535556*1000</f>
        <v>1525602.6453555601</v>
      </c>
      <c r="E17" s="11"/>
      <c r="F17" s="13">
        <f>1197.70068778726*1000</f>
        <v>1197700.6877872599</v>
      </c>
      <c r="G17" s="13">
        <f>327.901957568307*1000</f>
        <v>327901.957568307</v>
      </c>
      <c r="H17" s="11"/>
      <c r="I17" s="13">
        <f>711.8945*1000</f>
        <v>711894.5</v>
      </c>
      <c r="J17" s="13">
        <f>432.007*1000</f>
        <v>432007</v>
      </c>
      <c r="K17" s="13">
        <v>0</v>
      </c>
      <c r="L17" s="13">
        <f>308.5187625*1000</f>
        <v>308518.76249999995</v>
      </c>
      <c r="M17" s="13">
        <f>46.4301049137391*1000</f>
        <v>46430.104913739102</v>
      </c>
      <c r="N17" s="13">
        <f>26.7522779418238*1000</f>
        <v>26752.277941823799</v>
      </c>
      <c r="O17" s="11"/>
      <c r="P17" s="13">
        <f>2694.55982655148*1000</f>
        <v>2694559.8265514802</v>
      </c>
      <c r="Q17" s="13">
        <f>1786.16335374197*1000</f>
        <v>1786163.3537419699</v>
      </c>
      <c r="R17" s="13">
        <f>908.39647280951*1000</f>
        <v>908396.47280950996</v>
      </c>
      <c r="S17" s="11"/>
      <c r="T17" s="13">
        <f>723.481505324738*1000</f>
        <v>723481.50532473798</v>
      </c>
      <c r="U17" s="13">
        <f>184.914967484772*1000</f>
        <v>184914.967484772</v>
      </c>
    </row>
    <row r="18" spans="1:21" x14ac:dyDescent="0.25">
      <c r="A18" s="8">
        <v>2017</v>
      </c>
      <c r="B18" s="12">
        <f>5012.55000618779*1000</f>
        <v>5012550.0061877901</v>
      </c>
      <c r="C18" s="13">
        <f>3453.78654833333*1000</f>
        <v>3453786.5483333301</v>
      </c>
      <c r="D18" s="13">
        <f>1558.76345785446*1000</f>
        <v>1558763.45785446</v>
      </c>
      <c r="E18" s="11"/>
      <c r="F18" s="13">
        <f>1225.44321576256*1000</f>
        <v>1225443.21576256</v>
      </c>
      <c r="G18" s="13">
        <f>333.320242091895*1000</f>
        <v>333320.24209189502</v>
      </c>
      <c r="H18" s="11"/>
      <c r="I18" s="13">
        <f>727.04325*1000</f>
        <v>727043.25</v>
      </c>
      <c r="J18" s="13">
        <f>437.59475*1000</f>
        <v>437594.75</v>
      </c>
      <c r="K18" s="13">
        <v>0</v>
      </c>
      <c r="L18" s="13">
        <f>316.9248625*1000</f>
        <v>316924.86250000005</v>
      </c>
      <c r="M18" s="13">
        <f>46.958766284417*1000</f>
        <v>46958.766284417004</v>
      </c>
      <c r="N18" s="13">
        <f>30.241829070039*1000</f>
        <v>30241.829070038999</v>
      </c>
      <c r="O18" s="11"/>
      <c r="P18" s="13">
        <f>2731.40071478103*1000</f>
        <v>2731400.7147810296</v>
      </c>
      <c r="Q18" s="13">
        <f>1790.36670096808*1000</f>
        <v>1790366.70096808</v>
      </c>
      <c r="R18" s="13">
        <f>941.034013812951*1000</f>
        <v>941034.01381295105</v>
      </c>
      <c r="S18" s="11"/>
      <c r="T18" s="13">
        <f>748.618937827637*1000</f>
        <v>748618.93782763695</v>
      </c>
      <c r="U18" s="13">
        <f>192.415075985314*1000</f>
        <v>192415.075985314</v>
      </c>
    </row>
    <row r="19" spans="1:21" x14ac:dyDescent="0.25">
      <c r="A19" s="8">
        <v>2018</v>
      </c>
      <c r="B19" s="12">
        <f>5064.54798404047*1000</f>
        <v>5064547.9840404699</v>
      </c>
      <c r="C19" s="13">
        <f>3469.88004833333*1000</f>
        <v>3469880.0483333296</v>
      </c>
      <c r="D19" s="13">
        <f>1594.66793570714*1000</f>
        <v>1594667.93570714</v>
      </c>
      <c r="E19" s="11"/>
      <c r="F19" s="13">
        <f>1250.47566421438*1000</f>
        <v>1250475.6642143801</v>
      </c>
      <c r="G19" s="13">
        <f>344.192271492763*1000</f>
        <v>344192.27149276296</v>
      </c>
      <c r="H19" s="11"/>
      <c r="I19" s="13">
        <f>749.22075*1000</f>
        <v>749220.75</v>
      </c>
      <c r="J19" s="13">
        <f>440.6325*1000</f>
        <v>440632.5</v>
      </c>
      <c r="K19" s="13">
        <v>0</v>
      </c>
      <c r="L19" s="13">
        <f>323.9154625*1000</f>
        <v>323915.46249999997</v>
      </c>
      <c r="M19" s="13">
        <f>47.3229023251851*1000</f>
        <v>47322.902325185096</v>
      </c>
      <c r="N19" s="13">
        <f>33.5763208819532*1000</f>
        <v>33576.320881953201</v>
      </c>
      <c r="O19" s="11"/>
      <c r="P19" s="13">
        <f>2757.24665605277*1000</f>
        <v>2757246.6560527701</v>
      </c>
      <c r="Q19" s="13">
        <f>1801.00695096808*1000</f>
        <v>1801006.95096808</v>
      </c>
      <c r="R19" s="13">
        <f>956.239705084686*1000</f>
        <v>956239.70508468593</v>
      </c>
      <c r="S19" s="11"/>
      <c r="T19" s="13">
        <f>758.460954994357*1000</f>
        <v>758460.95499435707</v>
      </c>
      <c r="U19" s="13">
        <f>197.778750090329*1000</f>
        <v>197778.75009032901</v>
      </c>
    </row>
    <row r="20" spans="1:21" x14ac:dyDescent="0.25">
      <c r="A20" s="10">
        <v>2019</v>
      </c>
      <c r="B20" s="12">
        <f>5100.64012101286*1000</f>
        <v>5100640.12101286</v>
      </c>
      <c r="C20" s="13">
        <f>3474.742755*1000</f>
        <v>3474742.7550000004</v>
      </c>
      <c r="D20" s="13">
        <f>1625.89736601286*1000</f>
        <v>1625897.3660128599</v>
      </c>
      <c r="E20" s="14"/>
      <c r="F20" s="13">
        <f>1274.81368733835*1000</f>
        <v>1274813.6873383501</v>
      </c>
      <c r="G20" s="13">
        <f>351.083678674516*1000</f>
        <v>351083.67867451604</v>
      </c>
      <c r="H20" s="13"/>
      <c r="I20" s="13">
        <f>759.71425*1000</f>
        <v>759714.25</v>
      </c>
      <c r="J20" s="13">
        <f>451.29725*1000</f>
        <v>451297.25</v>
      </c>
      <c r="K20" s="13">
        <v>0</v>
      </c>
      <c r="L20" s="13">
        <f>332.2931125*1000</f>
        <v>332293.11249999999</v>
      </c>
      <c r="M20" s="13">
        <f>45.6803594845212*1000</f>
        <v>45680.359484521199</v>
      </c>
      <c r="N20" s="13">
        <f>36.9123940283409*1000</f>
        <v>36912.394028340896</v>
      </c>
      <c r="O20" s="14"/>
      <c r="P20" s="13">
        <f>2769.49291999296*1000</f>
        <v>2769492.9199929601</v>
      </c>
      <c r="Q20" s="5">
        <f>1798.94748*1000</f>
        <v>1798947.48</v>
      </c>
      <c r="R20" s="5">
        <f>970.545439992959*1000</f>
        <v>970545.43999295903</v>
      </c>
      <c r="S20" s="14"/>
      <c r="T20" s="6">
        <f>772.289965126025*1000</f>
        <v>772289.96512602502</v>
      </c>
      <c r="U20" s="6">
        <f>198.255474866934*1000</f>
        <v>198255.474866934</v>
      </c>
    </row>
    <row r="21" spans="1:21" x14ac:dyDescent="0.25">
      <c r="A21" s="10">
        <v>2020</v>
      </c>
      <c r="B21" s="12">
        <f>5077.11578271338*1000</f>
        <v>5077115.7827133806</v>
      </c>
      <c r="C21" s="13">
        <f>3439.776505*1000</f>
        <v>3439776.5049999999</v>
      </c>
      <c r="D21" s="13">
        <f>1637.33927771338*1000</f>
        <v>1637339.2777133801</v>
      </c>
      <c r="E21" s="14"/>
      <c r="F21" s="13">
        <f>1280.80884294698*1000</f>
        <v>1280808.8429469799</v>
      </c>
      <c r="G21" s="13">
        <f>356.530434766396*1000</f>
        <v>356530.43476639601</v>
      </c>
      <c r="H21" s="13"/>
      <c r="I21" s="13">
        <f>773.3495*1000</f>
        <v>773349.5</v>
      </c>
      <c r="J21" s="13">
        <f>448.6285*1000</f>
        <v>448628.5</v>
      </c>
      <c r="K21" s="13">
        <v>0</v>
      </c>
      <c r="L21" s="13">
        <f>340.577525*1000</f>
        <v>340577.52499999997</v>
      </c>
      <c r="M21" s="13">
        <f>38.3673883427612*1000</f>
        <v>38367.388342761202</v>
      </c>
      <c r="N21" s="13">
        <f>36.4163643706176*1000</f>
        <v>36416.364370617601</v>
      </c>
      <c r="O21" s="14"/>
      <c r="P21" s="13">
        <f>2758.97359279744*1000</f>
        <v>2758973.5927974395</v>
      </c>
      <c r="Q21" s="5">
        <f>1780.90573*1000</f>
        <v>1780905.73</v>
      </c>
      <c r="R21" s="5">
        <f>978.067862797443*1000</f>
        <v>978067.86279744306</v>
      </c>
      <c r="S21" s="14"/>
      <c r="T21" s="6">
        <f>775.534462532201*1000</f>
        <v>775534.46253220097</v>
      </c>
      <c r="U21" s="6">
        <f>202.533400265241*1000</f>
        <v>202533.40026524101</v>
      </c>
    </row>
    <row r="22" spans="1:21" x14ac:dyDescent="0.25">
      <c r="A22" s="9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9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9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s="9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A35" s="9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A36" s="9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5">
      <c r="A37" s="9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5">
      <c r="A38" s="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5">
      <c r="A39" s="9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A40" s="9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25">
      <c r="A41" s="9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IDZ-EDI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Robatti Mancini Vanessa</dc:creator>
  <cp:keywords/>
  <dc:description/>
  <cp:lastModifiedBy>Fabienne Belet</cp:lastModifiedBy>
  <cp:revision/>
  <dcterms:created xsi:type="dcterms:W3CDTF">2006-02-02T14:02:16Z</dcterms:created>
  <dcterms:modified xsi:type="dcterms:W3CDTF">2021-12-03T10:41:12Z</dcterms:modified>
  <cp:category/>
  <cp:contentStatus/>
</cp:coreProperties>
</file>