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fabie\Universität St.Gallen\Software-Engineering\"/>
    </mc:Choice>
  </mc:AlternateContent>
  <xr:revisionPtr revIDLastSave="0" documentId="13_ncr:1_{A4F18BE9-45EE-4A1D-AF04-2F98C64F16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22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1" i="22" l="1"/>
  <c r="AK20" i="22"/>
  <c r="AK19" i="22"/>
  <c r="AK18" i="22"/>
  <c r="AK17" i="22"/>
  <c r="AK16" i="22"/>
  <c r="AK15" i="22"/>
  <c r="AK14" i="22"/>
  <c r="AK13" i="22"/>
  <c r="AK12" i="22"/>
  <c r="AK11" i="22"/>
  <c r="AJ21" i="22"/>
  <c r="AJ20" i="22"/>
  <c r="AJ19" i="22"/>
  <c r="AJ18" i="22"/>
  <c r="AJ17" i="22"/>
  <c r="AJ16" i="22"/>
  <c r="AJ15" i="22"/>
  <c r="AJ14" i="22"/>
  <c r="AJ13" i="22"/>
  <c r="AJ12" i="22"/>
  <c r="AJ11" i="22"/>
  <c r="AI21" i="22"/>
  <c r="AI20" i="22"/>
  <c r="AI19" i="22"/>
  <c r="AI18" i="22"/>
  <c r="AI17" i="22"/>
  <c r="AI16" i="22"/>
  <c r="AI15" i="22"/>
  <c r="AI14" i="22"/>
  <c r="AI13" i="22"/>
  <c r="AI12" i="22"/>
  <c r="AI11" i="22"/>
  <c r="AH21" i="22"/>
  <c r="AH20" i="22"/>
  <c r="AH19" i="22"/>
  <c r="AH18" i="22"/>
  <c r="AH17" i="22"/>
  <c r="AH16" i="22"/>
  <c r="AH15" i="22"/>
  <c r="AH14" i="22"/>
  <c r="AH13" i="22"/>
  <c r="AH12" i="22"/>
  <c r="AH11" i="22"/>
  <c r="AH10" i="22"/>
  <c r="AH9" i="22"/>
  <c r="AH8" i="22"/>
  <c r="AH7" i="22"/>
  <c r="AH6" i="22"/>
  <c r="AH5" i="22"/>
  <c r="AH4" i="22"/>
  <c r="AH3" i="22"/>
  <c r="AH2" i="22"/>
  <c r="AG21" i="22"/>
  <c r="AG20" i="22"/>
  <c r="AG19" i="22"/>
  <c r="AG18" i="22"/>
  <c r="AG17" i="22"/>
  <c r="AG16" i="22"/>
  <c r="AG15" i="22"/>
  <c r="AG14" i="22"/>
  <c r="AG13" i="22"/>
  <c r="AG12" i="22"/>
  <c r="AG11" i="22"/>
  <c r="AF21" i="22"/>
  <c r="AF20" i="22"/>
  <c r="AF19" i="22"/>
  <c r="AF18" i="22"/>
  <c r="AF17" i="22"/>
  <c r="AF16" i="22"/>
  <c r="AF15" i="22"/>
  <c r="AF14" i="22"/>
  <c r="AF13" i="22"/>
  <c r="AF12" i="22"/>
  <c r="AF11" i="22"/>
  <c r="AE21" i="22"/>
  <c r="AE20" i="22"/>
  <c r="AE19" i="22"/>
  <c r="AE18" i="22"/>
  <c r="AE17" i="22"/>
  <c r="AE16" i="22"/>
  <c r="AE15" i="22"/>
  <c r="AE14" i="22"/>
  <c r="AE13" i="22"/>
  <c r="AE12" i="22"/>
  <c r="AE11" i="22"/>
  <c r="AD21" i="22"/>
  <c r="AD20" i="22"/>
  <c r="AD19" i="22"/>
  <c r="AD18" i="22"/>
  <c r="AD17" i="22"/>
  <c r="AD16" i="22"/>
  <c r="AD15" i="22"/>
  <c r="AD14" i="22"/>
  <c r="AD13" i="22"/>
  <c r="AD12" i="22"/>
  <c r="AD11" i="22"/>
  <c r="AD10" i="22"/>
  <c r="AD9" i="22"/>
  <c r="AD8" i="22"/>
  <c r="AD7" i="22"/>
  <c r="AD6" i="22"/>
  <c r="AD5" i="22"/>
  <c r="AD4" i="22"/>
  <c r="AD3" i="22"/>
  <c r="AD2" i="22"/>
  <c r="AC21" i="22"/>
  <c r="AC20" i="22"/>
  <c r="AC19" i="22"/>
  <c r="AC18" i="22"/>
  <c r="AC17" i="22"/>
  <c r="AC16" i="22"/>
  <c r="AC15" i="22"/>
  <c r="AC14" i="22"/>
  <c r="AC13" i="22"/>
  <c r="AC12" i="22"/>
  <c r="AC11" i="22"/>
  <c r="AC10" i="22"/>
  <c r="AC9" i="22"/>
  <c r="AC8" i="22"/>
  <c r="AC7" i="22"/>
  <c r="AC6" i="22"/>
  <c r="AC5" i="22"/>
  <c r="AC4" i="22"/>
  <c r="AC3" i="22"/>
  <c r="AC2" i="22"/>
  <c r="AB21" i="22"/>
  <c r="AB20" i="22"/>
  <c r="AB19" i="22"/>
  <c r="AB18" i="22"/>
  <c r="AB17" i="22"/>
  <c r="AB16" i="22"/>
  <c r="AB15" i="22"/>
  <c r="AB14" i="22"/>
  <c r="AB13" i="22"/>
  <c r="AB12" i="22"/>
  <c r="AB11" i="22"/>
  <c r="AB10" i="22"/>
  <c r="AB9" i="22"/>
  <c r="AB8" i="22"/>
  <c r="AB7" i="22"/>
  <c r="AB6" i="22"/>
  <c r="AB5" i="22"/>
  <c r="AB4" i="22"/>
  <c r="AB3" i="22"/>
  <c r="AB2" i="22"/>
  <c r="AA21" i="22"/>
  <c r="AA20" i="22"/>
  <c r="AA19" i="22"/>
  <c r="AA18" i="22"/>
  <c r="AA17" i="22"/>
  <c r="AA16" i="22"/>
  <c r="AA15" i="22"/>
  <c r="AA14" i="22"/>
  <c r="AA13" i="22"/>
  <c r="AA12" i="22"/>
  <c r="AA11" i="22"/>
  <c r="AA10" i="22"/>
  <c r="AA9" i="22"/>
  <c r="AA8" i="22"/>
  <c r="AA7" i="22"/>
  <c r="AA6" i="22"/>
  <c r="AA5" i="22"/>
  <c r="AA4" i="22"/>
  <c r="AA3" i="22"/>
  <c r="AA2" i="22"/>
  <c r="Z21" i="22"/>
  <c r="Z20" i="22"/>
  <c r="Z19" i="22"/>
  <c r="Z18" i="22"/>
  <c r="Z17" i="22"/>
  <c r="Z16" i="22"/>
  <c r="Z15" i="22"/>
  <c r="Z14" i="22"/>
  <c r="Z13" i="22"/>
  <c r="Z12" i="22"/>
  <c r="Z11" i="22"/>
  <c r="Z10" i="22"/>
  <c r="Z9" i="22"/>
  <c r="Z8" i="22"/>
  <c r="Z7" i="22"/>
  <c r="Z6" i="22"/>
  <c r="Z5" i="22"/>
  <c r="Z4" i="22"/>
  <c r="Z3" i="22"/>
  <c r="Z2" i="22"/>
  <c r="Y21" i="22"/>
  <c r="Y20" i="22"/>
  <c r="Y19" i="22"/>
  <c r="Y18" i="22"/>
  <c r="Y17" i="22"/>
  <c r="Y16" i="22"/>
  <c r="Y15" i="22"/>
  <c r="Y14" i="22"/>
  <c r="Y13" i="22"/>
  <c r="Y12" i="22"/>
  <c r="Y11" i="22"/>
  <c r="X21" i="22"/>
  <c r="X20" i="22"/>
  <c r="X19" i="22"/>
  <c r="X18" i="22"/>
  <c r="X17" i="22"/>
  <c r="X16" i="22"/>
  <c r="X15" i="22"/>
  <c r="X14" i="22"/>
  <c r="X13" i="22"/>
  <c r="X12" i="22"/>
  <c r="X11" i="22"/>
  <c r="W21" i="22"/>
  <c r="W20" i="22"/>
  <c r="W19" i="22"/>
  <c r="W18" i="22"/>
  <c r="W17" i="22"/>
  <c r="W16" i="22"/>
  <c r="W15" i="22"/>
  <c r="W14" i="22"/>
  <c r="W13" i="22"/>
  <c r="W12" i="22"/>
  <c r="W11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V2" i="22"/>
  <c r="U21" i="22"/>
  <c r="U20" i="22"/>
  <c r="U19" i="22"/>
  <c r="U18" i="22"/>
  <c r="U17" i="22"/>
  <c r="U16" i="22"/>
  <c r="U15" i="22"/>
  <c r="U14" i="22"/>
  <c r="U13" i="22"/>
  <c r="U12" i="22"/>
  <c r="U11" i="22"/>
  <c r="T21" i="22"/>
  <c r="T20" i="22"/>
  <c r="T19" i="22"/>
  <c r="T18" i="22"/>
  <c r="T17" i="22"/>
  <c r="T16" i="22"/>
  <c r="T15" i="22"/>
  <c r="T14" i="22"/>
  <c r="T13" i="22"/>
  <c r="T12" i="22"/>
  <c r="T11" i="22"/>
  <c r="S21" i="22"/>
  <c r="S20" i="22"/>
  <c r="S19" i="22"/>
  <c r="S18" i="22"/>
  <c r="S17" i="22"/>
  <c r="S16" i="22"/>
  <c r="S15" i="22"/>
  <c r="S14" i="22"/>
  <c r="S13" i="22"/>
  <c r="S12" i="22"/>
  <c r="S11" i="22"/>
  <c r="R20" i="22"/>
  <c r="R21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4" i="22"/>
  <c r="Q3" i="22"/>
  <c r="Q2" i="22"/>
  <c r="P21" i="22"/>
  <c r="P20" i="22"/>
  <c r="P19" i="22"/>
  <c r="P18" i="22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O3" i="22"/>
  <c r="O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N3" i="22"/>
  <c r="N2" i="22"/>
  <c r="M21" i="22"/>
  <c r="M20" i="22"/>
  <c r="M19" i="22"/>
  <c r="M18" i="22"/>
  <c r="M17" i="22"/>
  <c r="M16" i="22"/>
  <c r="M15" i="22"/>
  <c r="M14" i="22"/>
  <c r="M13" i="22"/>
  <c r="M12" i="22"/>
  <c r="M11" i="22"/>
  <c r="L21" i="22"/>
  <c r="L20" i="22"/>
  <c r="L19" i="22"/>
  <c r="L18" i="22"/>
  <c r="L17" i="22"/>
  <c r="L16" i="22"/>
  <c r="L15" i="22"/>
  <c r="L14" i="22"/>
  <c r="L13" i="22"/>
  <c r="L12" i="22"/>
  <c r="L11" i="22"/>
  <c r="K21" i="22"/>
  <c r="K20" i="22"/>
  <c r="K19" i="22"/>
  <c r="K18" i="22"/>
  <c r="K17" i="22"/>
  <c r="K16" i="22"/>
  <c r="K15" i="22"/>
  <c r="K14" i="22"/>
  <c r="K13" i="22"/>
  <c r="K12" i="22"/>
  <c r="K11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I21" i="22"/>
  <c r="I20" i="22"/>
  <c r="I19" i="22"/>
  <c r="I18" i="22"/>
  <c r="I17" i="22"/>
  <c r="I16" i="22"/>
  <c r="I15" i="22"/>
  <c r="I14" i="22"/>
  <c r="I13" i="22"/>
  <c r="I12" i="22"/>
  <c r="I11" i="22"/>
  <c r="H21" i="22"/>
  <c r="H20" i="22"/>
  <c r="H19" i="22"/>
  <c r="H18" i="22"/>
  <c r="H17" i="22"/>
  <c r="H16" i="22"/>
  <c r="H15" i="22"/>
  <c r="H14" i="22"/>
  <c r="H13" i="22"/>
  <c r="H12" i="22"/>
  <c r="H11" i="22"/>
  <c r="G20" i="22"/>
  <c r="G21" i="22"/>
  <c r="G19" i="22"/>
  <c r="G18" i="22"/>
  <c r="G17" i="22"/>
  <c r="G16" i="22"/>
  <c r="G15" i="22"/>
  <c r="G14" i="22"/>
  <c r="G13" i="22"/>
  <c r="G12" i="22"/>
  <c r="G11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</calcChain>
</file>

<file path=xl/sharedStrings.xml><?xml version="1.0" encoding="utf-8"?>
<sst xmlns="http://schemas.openxmlformats.org/spreadsheetml/2006/main" count="36" uniqueCount="12">
  <si>
    <t>Erwerbstätige,Total</t>
  </si>
  <si>
    <t>Sektor 1</t>
  </si>
  <si>
    <t>Sektor 2</t>
  </si>
  <si>
    <t>Sektor 3</t>
  </si>
  <si>
    <t>Schweizer/innen</t>
  </si>
  <si>
    <t>Ausländer/innen</t>
  </si>
  <si>
    <t>Erwerbstätige, Männer</t>
  </si>
  <si>
    <t>Schweizer</t>
  </si>
  <si>
    <t>Ausländer</t>
  </si>
  <si>
    <t>Erwerbstätige, Frauen</t>
  </si>
  <si>
    <t>Schweizerinnen</t>
  </si>
  <si>
    <t>Ausländerinnen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</si>
</sst>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0\)"/>
    <numFmt numFmtId="165" formatCode="#\ ###\ ##0__;\-#\ ###\ ##0__;0__;@__\ "/>
  </numFmts>
  <fonts count="7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2">
    <xf numFmtId="0" fontId="0" fillId="0" borderId="0" xfId="0"/>
    <xf numFmtId="0" fontId="3" fillId="0" borderId="2" xfId="1" applyFont="1" applyBorder="1" applyAlignment="1">
      <alignment horizontal="left" vertical="center" indent="1"/>
    </xf>
    <xf numFmtId="0" fontId="3" fillId="0" borderId="0" xfId="1" applyFont="1" applyAlignment="1">
      <alignment horizontal="left" vertical="center" indent="1"/>
    </xf>
    <xf numFmtId="0" fontId="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164" fontId="3" fillId="0" borderId="0" xfId="0" applyNumberFormat="1" applyFont="1"/>
    <xf numFmtId="165" fontId="6" fillId="2" borderId="0" xfId="1" applyNumberFormat="1" applyFont="1" applyFill="1" applyAlignment="1">
      <alignment horizontal="right" vertical="center"/>
    </xf>
    <xf numFmtId="165" fontId="4" fillId="2" borderId="0" xfId="1" applyNumberFormat="1" applyFont="1" applyFill="1" applyAlignment="1">
      <alignment horizontal="right" vertical="center"/>
    </xf>
    <xf numFmtId="165" fontId="4" fillId="2" borderId="2" xfId="1" applyNumberFormat="1" applyFont="1" applyFill="1" applyBorder="1" applyAlignment="1">
      <alignment horizontal="right" vertical="center"/>
    </xf>
    <xf numFmtId="0" fontId="2" fillId="3" borderId="3" xfId="1" applyFont="1" applyFill="1" applyBorder="1" applyAlignment="1">
      <alignment horizontal="left" vertical="top" wrapText="1"/>
    </xf>
    <xf numFmtId="0" fontId="2" fillId="3" borderId="1" xfId="1" applyFont="1" applyFill="1" applyBorder="1" applyAlignment="1">
      <alignment vertical="center"/>
    </xf>
    <xf numFmtId="0" fontId="2" fillId="3" borderId="4" xfId="1" applyFont="1" applyFill="1" applyBorder="1" applyAlignment="1">
      <alignment vertical="center"/>
    </xf>
  </cellXfs>
  <cellStyles count="3">
    <cellStyle name="Normal 2" xfId="1" xr:uid="{00000000-0005-0000-0000-000001000000}"/>
    <cellStyle name="Normal_F_02AMI27-37 (b)" xfId="2" xr:uid="{00000000-0005-0000-0000-000002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Personnalis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E8EAF7"/>
      </a:accent6>
      <a:hlink>
        <a:srgbClr val="0563C1"/>
      </a:hlink>
      <a:folHlink>
        <a:srgbClr val="E8EAF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3059-F82A-4EB3-9F2E-DD51E46949BC}">
  <dimension ref="A1:AK21"/>
  <sheetViews>
    <sheetView tabSelected="1" topLeftCell="W1" workbookViewId="0">
      <selection activeCell="AK22" sqref="AK22"/>
    </sheetView>
  </sheetViews>
  <sheetFormatPr baseColWidth="10" defaultRowHeight="12.5" x14ac:dyDescent="0.25"/>
  <cols>
    <col min="35" max="35" width="11.1796875" customWidth="1"/>
  </cols>
  <sheetData>
    <row r="1" spans="1:37" x14ac:dyDescent="0.25">
      <c r="A1" s="9"/>
      <c r="B1" s="3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2" t="s">
        <v>1</v>
      </c>
      <c r="H1" s="2" t="s">
        <v>2</v>
      </c>
      <c r="I1" s="2" t="s">
        <v>3</v>
      </c>
      <c r="J1" s="4" t="s">
        <v>5</v>
      </c>
      <c r="K1" s="2" t="s">
        <v>1</v>
      </c>
      <c r="L1" s="2" t="s">
        <v>2</v>
      </c>
      <c r="M1" s="2" t="s">
        <v>3</v>
      </c>
      <c r="N1" s="4" t="s">
        <v>6</v>
      </c>
      <c r="O1" s="2" t="s">
        <v>1</v>
      </c>
      <c r="P1" s="2" t="s">
        <v>2</v>
      </c>
      <c r="Q1" s="2" t="s">
        <v>3</v>
      </c>
      <c r="R1" s="4" t="s">
        <v>7</v>
      </c>
      <c r="S1" s="2" t="s">
        <v>1</v>
      </c>
      <c r="T1" s="2" t="s">
        <v>2</v>
      </c>
      <c r="U1" s="2" t="s">
        <v>3</v>
      </c>
      <c r="V1" s="4" t="s">
        <v>8</v>
      </c>
      <c r="W1" s="2" t="s">
        <v>1</v>
      </c>
      <c r="X1" s="2" t="s">
        <v>2</v>
      </c>
      <c r="Y1" s="2" t="s">
        <v>3</v>
      </c>
      <c r="Z1" s="4" t="s">
        <v>9</v>
      </c>
      <c r="AA1" s="2" t="s">
        <v>1</v>
      </c>
      <c r="AB1" s="2" t="s">
        <v>2</v>
      </c>
      <c r="AC1" s="2" t="s">
        <v>3</v>
      </c>
      <c r="AD1" s="4" t="s">
        <v>10</v>
      </c>
      <c r="AE1" s="2" t="s">
        <v>1</v>
      </c>
      <c r="AF1" s="2" t="s">
        <v>2</v>
      </c>
      <c r="AG1" s="2" t="s">
        <v>3</v>
      </c>
      <c r="AH1" s="4" t="s">
        <v>11</v>
      </c>
      <c r="AI1" s="2" t="s">
        <v>1</v>
      </c>
      <c r="AJ1" s="2" t="s">
        <v>2</v>
      </c>
      <c r="AK1" s="1" t="s">
        <v>3</v>
      </c>
    </row>
    <row r="2" spans="1:37" x14ac:dyDescent="0.25">
      <c r="A2" s="10">
        <v>2001</v>
      </c>
      <c r="B2" s="6">
        <f>4088.69357376823*1000</f>
        <v>4088693.5737682302</v>
      </c>
      <c r="C2" s="7">
        <f>157.157479774348*1000</f>
        <v>157157.479774348</v>
      </c>
      <c r="D2" s="7">
        <f>978.52852867884*1000</f>
        <v>978528.52867883991</v>
      </c>
      <c r="E2" s="7">
        <f>2953.00756531504*1000</f>
        <v>2953007.5653150403</v>
      </c>
      <c r="F2" s="7">
        <f>3080.81988267661*1000</f>
        <v>3080819.8826766103</v>
      </c>
      <c r="G2" s="7"/>
      <c r="H2" s="7"/>
      <c r="I2" s="7"/>
      <c r="J2" s="7">
        <f>1007.87369109162*1000</f>
        <v>1007873.69109162</v>
      </c>
      <c r="K2" s="7"/>
      <c r="L2" s="7"/>
      <c r="M2" s="7"/>
      <c r="N2" s="7">
        <f>2293.21646078352*1000</f>
        <v>2293216.4607835198</v>
      </c>
      <c r="O2" s="7">
        <f>101.320408338807*1000</f>
        <v>101320.408338807</v>
      </c>
      <c r="P2" s="7">
        <f>752.733242334542*1000</f>
        <v>752733.24233454198</v>
      </c>
      <c r="Q2" s="7">
        <f>1439.16281011017*1000</f>
        <v>1439162.8101101702</v>
      </c>
      <c r="R2" s="7">
        <f>1669.41133502794*1000</f>
        <v>1669411.3350279399</v>
      </c>
      <c r="S2" s="7"/>
      <c r="T2" s="7"/>
      <c r="U2" s="7"/>
      <c r="V2" s="7">
        <f>623.805125755585*1000</f>
        <v>623805.12575558503</v>
      </c>
      <c r="W2" s="7"/>
      <c r="X2" s="7"/>
      <c r="Y2" s="7"/>
      <c r="Z2" s="7">
        <f>1795.47711298471*1000</f>
        <v>1795477.1129847099</v>
      </c>
      <c r="AA2" s="7">
        <f>55.8370714355412*1000</f>
        <v>55837.071435541198</v>
      </c>
      <c r="AB2" s="7">
        <f>225.795286344298*1000</f>
        <v>225795.28634429802</v>
      </c>
      <c r="AC2" s="7">
        <f>1513.84475520487*1000</f>
        <v>1513844.7552048699</v>
      </c>
      <c r="AD2" s="7">
        <f>1411.40854764868*1000</f>
        <v>1411408.5476486799</v>
      </c>
      <c r="AE2" s="7"/>
      <c r="AF2" s="7"/>
      <c r="AG2" s="7"/>
      <c r="AH2" s="7">
        <f>384.068565336035*1000</f>
        <v>384068.56533603504</v>
      </c>
      <c r="AI2" s="7"/>
      <c r="AJ2" s="7"/>
      <c r="AK2" s="8"/>
    </row>
    <row r="3" spans="1:37" x14ac:dyDescent="0.25">
      <c r="A3" s="10">
        <v>2002</v>
      </c>
      <c r="B3" s="6">
        <f>4117.90898823417*1000</f>
        <v>4117908.9882341698</v>
      </c>
      <c r="C3" s="7">
        <f>158.07072761628*1000</f>
        <v>158070.72761628</v>
      </c>
      <c r="D3" s="7">
        <f>964.852173833509*1000</f>
        <v>964852.17383350898</v>
      </c>
      <c r="E3" s="7">
        <f>2994.98608678438*1000</f>
        <v>2994986.08678438</v>
      </c>
      <c r="F3" s="7">
        <f>3103.67731489731*1000</f>
        <v>3103677.3148973105</v>
      </c>
      <c r="G3" s="7"/>
      <c r="H3" s="7"/>
      <c r="I3" s="7"/>
      <c r="J3" s="7">
        <f>1014.23167333686*1000</f>
        <v>1014231.67333686</v>
      </c>
      <c r="K3" s="7"/>
      <c r="L3" s="7"/>
      <c r="M3" s="7"/>
      <c r="N3" s="7">
        <f>2290.1066867176*1000</f>
        <v>2290106.6867176001</v>
      </c>
      <c r="O3" s="7">
        <f>102.76300062021*1000</f>
        <v>102763.00062020999</v>
      </c>
      <c r="P3" s="7">
        <f>739.195469389449*1000</f>
        <v>739195.46938944899</v>
      </c>
      <c r="Q3" s="7">
        <f>1448.14821670795*1000</f>
        <v>1448148.21670795</v>
      </c>
      <c r="R3" s="7">
        <f>1670.22478836514*1000</f>
        <v>1670224.7883651401</v>
      </c>
      <c r="S3" s="7"/>
      <c r="T3" s="7"/>
      <c r="U3" s="7"/>
      <c r="V3" s="7">
        <f>619.881898352462*1000</f>
        <v>619881.89835246198</v>
      </c>
      <c r="W3" s="7"/>
      <c r="X3" s="7"/>
      <c r="Y3" s="7"/>
      <c r="Z3" s="7">
        <f>1827.80230151656*1000</f>
        <v>1827802.3015165599</v>
      </c>
      <c r="AA3" s="7">
        <f>55.3077269960701*1000</f>
        <v>55307.726996070101</v>
      </c>
      <c r="AB3" s="7">
        <f>225.656704444059*1000</f>
        <v>225656.704444059</v>
      </c>
      <c r="AC3" s="7">
        <f>1546.83787007643*1000</f>
        <v>1546837.8700764298</v>
      </c>
      <c r="AD3" s="7">
        <f>1433.45252653217*1000</f>
        <v>1433452.5265321699</v>
      </c>
      <c r="AE3" s="7"/>
      <c r="AF3" s="7"/>
      <c r="AG3" s="7"/>
      <c r="AH3" s="7">
        <f>394.349774984394*1000</f>
        <v>394349.77498439403</v>
      </c>
      <c r="AI3" s="7"/>
      <c r="AJ3" s="7"/>
      <c r="AK3" s="8"/>
    </row>
    <row r="4" spans="1:37" x14ac:dyDescent="0.25">
      <c r="A4" s="10">
        <v>2003</v>
      </c>
      <c r="B4" s="6">
        <f>4103.21745913019*1000</f>
        <v>4103217.4591301898</v>
      </c>
      <c r="C4" s="7">
        <f>155.593182963392*1000</f>
        <v>155593.182963392</v>
      </c>
      <c r="D4" s="7">
        <f>949.864868790036*1000</f>
        <v>949864.86879003595</v>
      </c>
      <c r="E4" s="7">
        <f>2997.75940737676*1000</f>
        <v>2997759.4073767602</v>
      </c>
      <c r="F4" s="7">
        <f>3093.19743692009*1000</f>
        <v>3093197.4369200896</v>
      </c>
      <c r="G4" s="7"/>
      <c r="H4" s="7"/>
      <c r="I4" s="7"/>
      <c r="J4" s="7">
        <f>1010.0200222101*1000</f>
        <v>1010020.0222101</v>
      </c>
      <c r="K4" s="7"/>
      <c r="L4" s="7"/>
      <c r="M4" s="7"/>
      <c r="N4" s="7">
        <f>2276.23600723116*1000</f>
        <v>2276236.0072311601</v>
      </c>
      <c r="O4" s="7">
        <f>102.256708861266*1000</f>
        <v>102256.708861266</v>
      </c>
      <c r="P4" s="7">
        <f>731.68676801181*1000</f>
        <v>731686.76801181003</v>
      </c>
      <c r="Q4" s="7">
        <f>1442.29253035809*1000</f>
        <v>1442292.5303580901</v>
      </c>
      <c r="R4" s="7">
        <f>1657.66420298888*1000</f>
        <v>1657664.2029888802</v>
      </c>
      <c r="S4" s="7"/>
      <c r="T4" s="7"/>
      <c r="U4" s="7"/>
      <c r="V4" s="7">
        <f>618.571804242281*1000</f>
        <v>618571.80424228101</v>
      </c>
      <c r="W4" s="7"/>
      <c r="X4" s="7"/>
      <c r="Y4" s="7"/>
      <c r="Z4" s="7">
        <f>1826.98145189903*1000</f>
        <v>1826981.45189903</v>
      </c>
      <c r="AA4" s="7">
        <f>53.3364741021268*1000</f>
        <v>53336.474102126798</v>
      </c>
      <c r="AB4" s="7">
        <f>218.178100778226*1000</f>
        <v>218178.10077822598</v>
      </c>
      <c r="AC4" s="7">
        <f>1555.46687701868*1000</f>
        <v>1555466.8770186799</v>
      </c>
      <c r="AD4" s="7">
        <f>1435.53323393121*1000</f>
        <v>1435533.2339312099</v>
      </c>
      <c r="AE4" s="7"/>
      <c r="AF4" s="7"/>
      <c r="AG4" s="7"/>
      <c r="AH4" s="7">
        <f>391.448217967817*1000</f>
        <v>391448.21796781704</v>
      </c>
      <c r="AI4" s="7"/>
      <c r="AJ4" s="7"/>
      <c r="AK4" s="8"/>
    </row>
    <row r="5" spans="1:37" x14ac:dyDescent="0.25">
      <c r="A5" s="10">
        <v>2004</v>
      </c>
      <c r="B5" s="6">
        <f>4114.56435297193*1000</f>
        <v>4114564.3529719301</v>
      </c>
      <c r="C5" s="7">
        <f>147.939706575109*1000</f>
        <v>147939.70657510901</v>
      </c>
      <c r="D5" s="7">
        <f>945.776015200413*1000</f>
        <v>945776.01520041295</v>
      </c>
      <c r="E5" s="7">
        <f>3020.84863119641*1000</f>
        <v>3020848.6311964104</v>
      </c>
      <c r="F5" s="7">
        <f>3095.49399373194*1000</f>
        <v>3095493.9937319402</v>
      </c>
      <c r="G5" s="7"/>
      <c r="H5" s="7"/>
      <c r="I5" s="7"/>
      <c r="J5" s="7">
        <f>1019.07035923998*1000</f>
        <v>1019070.35923998</v>
      </c>
      <c r="K5" s="7"/>
      <c r="L5" s="7"/>
      <c r="M5" s="7"/>
      <c r="N5" s="7">
        <f>2282.05952229092*1000</f>
        <v>2282059.5222909199</v>
      </c>
      <c r="O5" s="7">
        <f>99.1339370995523*1000</f>
        <v>99133.937099552291</v>
      </c>
      <c r="P5" s="7">
        <f>730.118257107596*1000</f>
        <v>730118.25710759603</v>
      </c>
      <c r="Q5" s="7">
        <f>1452.80732808377*1000</f>
        <v>1452807.3280837701</v>
      </c>
      <c r="R5" s="7">
        <f>1657.43995141123*1000</f>
        <v>1657439.95141123</v>
      </c>
      <c r="S5" s="7"/>
      <c r="T5" s="7"/>
      <c r="U5" s="7"/>
      <c r="V5" s="7">
        <f>624.619570879685*1000</f>
        <v>624619.57087968511</v>
      </c>
      <c r="W5" s="7"/>
      <c r="X5" s="7"/>
      <c r="Y5" s="7"/>
      <c r="Z5" s="7">
        <f>1832.50483068101*1000</f>
        <v>1832504.8306810099</v>
      </c>
      <c r="AA5" s="7">
        <f>48.8057694755568*1000</f>
        <v>48805.769475556801</v>
      </c>
      <c r="AB5" s="7">
        <f>215.657758092817*1000</f>
        <v>215657.75809281701</v>
      </c>
      <c r="AC5" s="7">
        <f>1568.04130311264*1000</f>
        <v>1568041.30311264</v>
      </c>
      <c r="AD5" s="7">
        <f>1438.05404232071*1000</f>
        <v>1438054.0423207101</v>
      </c>
      <c r="AE5" s="7"/>
      <c r="AF5" s="7"/>
      <c r="AG5" s="7"/>
      <c r="AH5" s="7">
        <f>394.4507883603*1000</f>
        <v>394450.78836030001</v>
      </c>
      <c r="AI5" s="7"/>
      <c r="AJ5" s="7"/>
      <c r="AK5" s="8"/>
    </row>
    <row r="6" spans="1:37" x14ac:dyDescent="0.25">
      <c r="A6" s="10">
        <v>2005</v>
      </c>
      <c r="B6" s="6">
        <f>4144.66360917273*1000</f>
        <v>4144663.6091727298</v>
      </c>
      <c r="C6" s="7">
        <f>147.533859069692*1000</f>
        <v>147533.859069692</v>
      </c>
      <c r="D6" s="7">
        <f>952.663471439731*1000</f>
        <v>952663.47143973096</v>
      </c>
      <c r="E6" s="7">
        <f>3044.46627866331*1000</f>
        <v>3044466.2786633098</v>
      </c>
      <c r="F6" s="7">
        <f>3108.11960551933*1000</f>
        <v>3108119.6055193301</v>
      </c>
      <c r="G6" s="7"/>
      <c r="H6" s="7"/>
      <c r="I6" s="7"/>
      <c r="J6" s="7">
        <f>1036.5440036534*1000</f>
        <v>1036544.0036534001</v>
      </c>
      <c r="K6" s="7"/>
      <c r="L6" s="7"/>
      <c r="M6" s="7"/>
      <c r="N6" s="7">
        <f>2294.138658346*1000</f>
        <v>2294138.6583459997</v>
      </c>
      <c r="O6" s="7">
        <f>100.674677084949*1000</f>
        <v>100674.677084949</v>
      </c>
      <c r="P6" s="7">
        <f>731.731989520824*1000</f>
        <v>731731.98952082393</v>
      </c>
      <c r="Q6" s="7">
        <f>1461.73199174023*1000</f>
        <v>1461731.9917402298</v>
      </c>
      <c r="R6" s="7">
        <f>1658.78056960743*1000</f>
        <v>1658780.5696074299</v>
      </c>
      <c r="S6" s="7"/>
      <c r="T6" s="7"/>
      <c r="U6" s="7"/>
      <c r="V6" s="7">
        <f>635.358088738567*1000</f>
        <v>635358.08873856696</v>
      </c>
      <c r="W6" s="7"/>
      <c r="X6" s="7"/>
      <c r="Y6" s="7"/>
      <c r="Z6" s="7">
        <f>1850.52495082673*1000</f>
        <v>1850524.9508267299</v>
      </c>
      <c r="AA6" s="7">
        <f>46.8591819847432*1000</f>
        <v>46859.181984743205</v>
      </c>
      <c r="AB6" s="7">
        <f>220.931481918907*1000</f>
        <v>220931.481918907</v>
      </c>
      <c r="AC6" s="7">
        <f>1582.73428692308*1000</f>
        <v>1582734.28692308</v>
      </c>
      <c r="AD6" s="7">
        <f>1449.3390359119*1000</f>
        <v>1449339.0359119</v>
      </c>
      <c r="AE6" s="7"/>
      <c r="AF6" s="7"/>
      <c r="AG6" s="7"/>
      <c r="AH6" s="7">
        <f>401.185914914834*1000</f>
        <v>401185.91491483396</v>
      </c>
      <c r="AI6" s="7"/>
      <c r="AJ6" s="7"/>
      <c r="AK6" s="8"/>
    </row>
    <row r="7" spans="1:37" x14ac:dyDescent="0.25">
      <c r="A7" s="10">
        <v>2006</v>
      </c>
      <c r="B7" s="6">
        <f>4234.93210611727*1000</f>
        <v>4234932.1061172709</v>
      </c>
      <c r="C7" s="7">
        <f>148.37799779717*1000</f>
        <v>148377.99779716998</v>
      </c>
      <c r="D7" s="7">
        <f>978.971231820992*1000</f>
        <v>978971.23182099196</v>
      </c>
      <c r="E7" s="7">
        <f>3107.58287649911*1000</f>
        <v>3107582.8764991104</v>
      </c>
      <c r="F7" s="7">
        <f>3160.95671287899*1000</f>
        <v>3160956.71287899</v>
      </c>
      <c r="G7" s="7"/>
      <c r="H7" s="7"/>
      <c r="I7" s="7"/>
      <c r="J7" s="7">
        <f>1073.97539323828*1000</f>
        <v>1073975.39323828</v>
      </c>
      <c r="K7" s="7"/>
      <c r="L7" s="7"/>
      <c r="M7" s="7"/>
      <c r="N7" s="7">
        <f>2343.68972404522*1000</f>
        <v>2343689.7240452198</v>
      </c>
      <c r="O7" s="7">
        <f>101.552372125918*1000</f>
        <v>101552.372125918</v>
      </c>
      <c r="P7" s="7">
        <f>750.96009998062*1000</f>
        <v>750960.09998062009</v>
      </c>
      <c r="Q7" s="7">
        <f>1491.17725193869*1000</f>
        <v>1491177.25193869</v>
      </c>
      <c r="R7" s="7">
        <f>1684.30799644624*1000</f>
        <v>1684307.99644624</v>
      </c>
      <c r="S7" s="7"/>
      <c r="T7" s="7"/>
      <c r="U7" s="7"/>
      <c r="V7" s="7">
        <f>659.38172759898*1000</f>
        <v>659381.72759897995</v>
      </c>
      <c r="W7" s="7"/>
      <c r="X7" s="7"/>
      <c r="Y7" s="7"/>
      <c r="Z7" s="7">
        <f>1891.24238207205*1000</f>
        <v>1891242.3820720501</v>
      </c>
      <c r="AA7" s="7">
        <f>46.8256256712517*1000</f>
        <v>46825.625671251699</v>
      </c>
      <c r="AB7" s="7">
        <f>228.011131840373*1000</f>
        <v>228011.13184037301</v>
      </c>
      <c r="AC7" s="7">
        <f>1616.40562456042*1000</f>
        <v>1616405.6245604199</v>
      </c>
      <c r="AD7" s="7">
        <f>1476.64871643275*1000</f>
        <v>1476648.71643275</v>
      </c>
      <c r="AE7" s="7"/>
      <c r="AF7" s="7"/>
      <c r="AG7" s="7"/>
      <c r="AH7" s="7">
        <f>414.593665639296*1000</f>
        <v>414593.665639296</v>
      </c>
      <c r="AI7" s="7"/>
      <c r="AJ7" s="7"/>
      <c r="AK7" s="8"/>
    </row>
    <row r="8" spans="1:37" x14ac:dyDescent="0.25">
      <c r="A8" s="10">
        <v>2007</v>
      </c>
      <c r="B8" s="6">
        <f>4344.2744162789*1000</f>
        <v>4344274.4162789006</v>
      </c>
      <c r="C8" s="7">
        <f>154.033608571432*1000</f>
        <v>154033.60857143201</v>
      </c>
      <c r="D8" s="7">
        <f>1007.90711028991*1000</f>
        <v>1007907.11028991</v>
      </c>
      <c r="E8" s="7">
        <f>3182.33369741756*1000</f>
        <v>3182333.69741756</v>
      </c>
      <c r="F8" s="7">
        <f>3220.44314898347*1000</f>
        <v>3220443.1489834702</v>
      </c>
      <c r="G8" s="7"/>
      <c r="H8" s="7"/>
      <c r="I8" s="7"/>
      <c r="J8" s="7">
        <f>1123.83126729544*1000</f>
        <v>1123831.26729544</v>
      </c>
      <c r="K8" s="7"/>
      <c r="L8" s="7"/>
      <c r="M8" s="7"/>
      <c r="N8" s="7">
        <f>2407.33630775326*1000</f>
        <v>2407336.3077532598</v>
      </c>
      <c r="O8" s="7">
        <f>104.725937334071*1000</f>
        <v>104725.937334071</v>
      </c>
      <c r="P8" s="7">
        <f>772.970515814734*1000</f>
        <v>772970.51581473392</v>
      </c>
      <c r="Q8" s="7">
        <f>1529.63985460446*1000</f>
        <v>1529639.8546044601</v>
      </c>
      <c r="R8" s="7">
        <f>1716.44222605394*1000</f>
        <v>1716442.2260539399</v>
      </c>
      <c r="S8" s="7"/>
      <c r="T8" s="7"/>
      <c r="U8" s="7"/>
      <c r="V8" s="7">
        <f>690.894081699318*1000</f>
        <v>690894.08169931802</v>
      </c>
      <c r="W8" s="7"/>
      <c r="X8" s="7"/>
      <c r="Y8" s="7"/>
      <c r="Z8" s="7">
        <f>1936.93810852564*1000</f>
        <v>1936938.1085256401</v>
      </c>
      <c r="AA8" s="7">
        <f>49.3076712373614*1000</f>
        <v>49307.671237361399</v>
      </c>
      <c r="AB8" s="7">
        <f>234.936594475178*1000</f>
        <v>234936.59447517799</v>
      </c>
      <c r="AC8" s="7">
        <f>1652.6938428131*1000</f>
        <v>1652693.8428131</v>
      </c>
      <c r="AD8" s="7">
        <f>1504.00092292952*1000</f>
        <v>1504000.9229295198</v>
      </c>
      <c r="AE8" s="7"/>
      <c r="AF8" s="7"/>
      <c r="AG8" s="7"/>
      <c r="AH8" s="7">
        <f>432.937185596118*1000</f>
        <v>432937.18559611804</v>
      </c>
      <c r="AI8" s="7"/>
      <c r="AJ8" s="7"/>
      <c r="AK8" s="8"/>
    </row>
    <row r="9" spans="1:37" x14ac:dyDescent="0.25">
      <c r="A9" s="10">
        <v>2008</v>
      </c>
      <c r="B9" s="6">
        <f>4448.26302190877*1000</f>
        <v>4448263.0219087694</v>
      </c>
      <c r="C9" s="7">
        <f>155.859417844836*1000</f>
        <v>155859.41784483599</v>
      </c>
      <c r="D9" s="7">
        <f>1022.3339351198*1000</f>
        <v>1022333.9351198</v>
      </c>
      <c r="E9" s="7">
        <f>3270.06966894413*1000</f>
        <v>3270069.6689441302</v>
      </c>
      <c r="F9" s="7">
        <f>3272.59199885327*1000</f>
        <v>3272591.99885327</v>
      </c>
      <c r="G9" s="7"/>
      <c r="H9" s="7"/>
      <c r="I9" s="7"/>
      <c r="J9" s="7">
        <f>1175.6710230555*1000</f>
        <v>1175671.0230554999</v>
      </c>
      <c r="K9" s="7"/>
      <c r="L9" s="7"/>
      <c r="M9" s="7"/>
      <c r="N9" s="7">
        <f>2442.85464863037*1000</f>
        <v>2442854.6486303699</v>
      </c>
      <c r="O9" s="7">
        <f>104.633951522724*1000</f>
        <v>104633.951522724</v>
      </c>
      <c r="P9" s="7">
        <f>780.384747438779*1000</f>
        <v>780384.74743877898</v>
      </c>
      <c r="Q9" s="7">
        <f>1557.83594966886*1000</f>
        <v>1557835.9496688598</v>
      </c>
      <c r="R9" s="7">
        <f>1726.92159968205*1000</f>
        <v>1726921.5996820501</v>
      </c>
      <c r="S9" s="7"/>
      <c r="T9" s="7"/>
      <c r="U9" s="7"/>
      <c r="V9" s="7">
        <f>715.933048948319*1000</f>
        <v>715933.04894831893</v>
      </c>
      <c r="W9" s="7"/>
      <c r="X9" s="7"/>
      <c r="Y9" s="7"/>
      <c r="Z9" s="7">
        <f>2005.4083732784*1000</f>
        <v>2005408.3732783999</v>
      </c>
      <c r="AA9" s="7">
        <f>51.2254663221115*1000</f>
        <v>51225.466322111504</v>
      </c>
      <c r="AB9" s="7">
        <f>241.949187681024*1000</f>
        <v>241949.18768102399</v>
      </c>
      <c r="AC9" s="7">
        <f>1712.23371927527*1000</f>
        <v>1712233.7192752699</v>
      </c>
      <c r="AD9" s="7">
        <f>1545.67039917122*1000</f>
        <v>1545670.3991712199</v>
      </c>
      <c r="AE9" s="7"/>
      <c r="AF9" s="7"/>
      <c r="AG9" s="7"/>
      <c r="AH9" s="7">
        <f>459.737974107179*1000</f>
        <v>459737.97410717903</v>
      </c>
      <c r="AI9" s="7"/>
      <c r="AJ9" s="7"/>
      <c r="AK9" s="8"/>
    </row>
    <row r="10" spans="1:37" x14ac:dyDescent="0.25">
      <c r="A10" s="10">
        <v>2009</v>
      </c>
      <c r="B10" s="6">
        <f>4469.11498493507*1000</f>
        <v>4469114.9849350704</v>
      </c>
      <c r="C10" s="7">
        <f>148.969912726439*1000</f>
        <v>148969.91272643898</v>
      </c>
      <c r="D10" s="7">
        <f>1011.15119681392*1000</f>
        <v>1011151.19681392</v>
      </c>
      <c r="E10" s="7">
        <f>3308.99387539471*1000</f>
        <v>3308993.8753947099</v>
      </c>
      <c r="F10" s="7">
        <f>3265.23633823418*1000</f>
        <v>3265236.3382341801</v>
      </c>
      <c r="G10" s="7"/>
      <c r="H10" s="7"/>
      <c r="I10" s="7"/>
      <c r="J10" s="7">
        <f>1203.8786467009*1000</f>
        <v>1203878.6467009</v>
      </c>
      <c r="K10" s="7"/>
      <c r="L10" s="7"/>
      <c r="M10" s="7"/>
      <c r="N10" s="7">
        <f>2441.57815945895*1000</f>
        <v>2441578.1594589497</v>
      </c>
      <c r="O10" s="7">
        <f>99.6046530294951*1000</f>
        <v>99604.653029495094</v>
      </c>
      <c r="P10" s="7">
        <f>774.608277516722*1000</f>
        <v>774608.27751672198</v>
      </c>
      <c r="Q10" s="7">
        <f>1567.36522891273*1000</f>
        <v>1567365.22891273</v>
      </c>
      <c r="R10" s="7">
        <f>1710.46368132056*1000</f>
        <v>1710463.6813205599</v>
      </c>
      <c r="S10" s="7"/>
      <c r="T10" s="7"/>
      <c r="U10" s="7"/>
      <c r="V10" s="7">
        <f>731.114478138391*1000</f>
        <v>731114.47813839093</v>
      </c>
      <c r="W10" s="7"/>
      <c r="X10" s="7"/>
      <c r="Y10" s="7"/>
      <c r="Z10" s="7">
        <f>2027.53682547612*1000</f>
        <v>2027536.82547612</v>
      </c>
      <c r="AA10" s="7">
        <f>49.3652596969441*1000</f>
        <v>49365.2596969441</v>
      </c>
      <c r="AB10" s="7">
        <f>236.542919297201*1000</f>
        <v>236542.91929720101</v>
      </c>
      <c r="AC10" s="7">
        <f>1741.62864648198*1000</f>
        <v>1741628.6464819801</v>
      </c>
      <c r="AD10" s="7">
        <f>1554.77265691362*1000</f>
        <v>1554772.65691362</v>
      </c>
      <c r="AE10" s="7"/>
      <c r="AF10" s="7"/>
      <c r="AG10" s="7"/>
      <c r="AH10" s="7">
        <f>472.764168562505*1000</f>
        <v>472764.16856250499</v>
      </c>
      <c r="AI10" s="7"/>
      <c r="AJ10" s="7"/>
      <c r="AK10" s="8"/>
    </row>
    <row r="11" spans="1:37" x14ac:dyDescent="0.25">
      <c r="A11" s="10">
        <v>2010</v>
      </c>
      <c r="B11" s="6">
        <f>4481.7117499798*1000</f>
        <v>4481711.7499797996</v>
      </c>
      <c r="C11" s="7">
        <f>155.5172499998*1000</f>
        <v>155517.2499998</v>
      </c>
      <c r="D11" s="7">
        <f>1006.6399999975*1000</f>
        <v>1006639.9999975</v>
      </c>
      <c r="E11" s="7">
        <f>3319.5544999825*1000</f>
        <v>3319554.4999825</v>
      </c>
      <c r="F11" s="7">
        <f>3267.24649997675*1000</f>
        <v>3267246.49997675</v>
      </c>
      <c r="G11" s="7">
        <f>137.80695041175*1000</f>
        <v>137806.95041175</v>
      </c>
      <c r="H11" s="7">
        <f>645.392084515*1000</f>
        <v>645392.084515</v>
      </c>
      <c r="I11" s="7">
        <f>2484.04746505*1000</f>
        <v>2484047.4650500002</v>
      </c>
      <c r="J11" s="7">
        <f>1214.46525000305*1000</f>
        <v>1214465.2500030498</v>
      </c>
      <c r="K11" s="7">
        <f>17.71029958805*1000</f>
        <v>17710.299588049998</v>
      </c>
      <c r="L11" s="7">
        <f>361.2479154825*1000</f>
        <v>361247.91548249999</v>
      </c>
      <c r="M11" s="7">
        <f>835.5070349325*1000</f>
        <v>835507.03493249998</v>
      </c>
      <c r="N11" s="7">
        <f>2468.10424998237*1000</f>
        <v>2468104.2499823701</v>
      </c>
      <c r="O11" s="7">
        <f>102.636249999875*1000</f>
        <v>102636.249999875</v>
      </c>
      <c r="P11" s="7">
        <f>775.478*1000</f>
        <v>775478</v>
      </c>
      <c r="Q11" s="7">
        <f>1589.9899999825*1000</f>
        <v>1589989.9999825</v>
      </c>
      <c r="R11" s="7">
        <f>1726.38949997975*1000</f>
        <v>1726389.49997975</v>
      </c>
      <c r="S11" s="7">
        <f>90.82763197225*1000</f>
        <v>90827.631972250005</v>
      </c>
      <c r="T11" s="7">
        <f>491.1718593325*1000</f>
        <v>491171.85933249997</v>
      </c>
      <c r="U11" s="7">
        <f>1144.390008675*1000</f>
        <v>1144390.0086749999</v>
      </c>
      <c r="V11" s="7">
        <f>741.714750002625*1000</f>
        <v>741714.75000262505</v>
      </c>
      <c r="W11" s="5">
        <f>11.808618027625*1000</f>
        <v>11808.618027625</v>
      </c>
      <c r="X11" s="7">
        <f>284.3061406675*1000</f>
        <v>284306.14066750003</v>
      </c>
      <c r="Y11" s="7">
        <f>445.5999913075*1000</f>
        <v>445599.99130749999</v>
      </c>
      <c r="Z11" s="7">
        <f>2013.60749999742*1000</f>
        <v>2013607.49999742</v>
      </c>
      <c r="AA11" s="7">
        <f>52.880999999925*1000</f>
        <v>52880.999999924999</v>
      </c>
      <c r="AB11" s="7">
        <f>231.1619999975*1000</f>
        <v>231161.99999750001</v>
      </c>
      <c r="AC11" s="7">
        <f>1729.5645*1000</f>
        <v>1729564.5</v>
      </c>
      <c r="AD11" s="7">
        <f>1540.856999997*1000</f>
        <v>1540856.999997</v>
      </c>
      <c r="AE11" s="7">
        <f>46.9793184395*1000</f>
        <v>46979.318439499999</v>
      </c>
      <c r="AF11" s="7">
        <f>154.2202251825*1000</f>
        <v>154220.2251825</v>
      </c>
      <c r="AG11" s="7">
        <f>1339.657456375*1000</f>
        <v>1339657.4563750001</v>
      </c>
      <c r="AH11" s="7">
        <f>472.750500000425*1000</f>
        <v>472750.50000042503</v>
      </c>
      <c r="AI11" s="5">
        <f>5.901681560425*1000</f>
        <v>5901.6815604249996</v>
      </c>
      <c r="AJ11" s="7">
        <f>76.941774815*1000</f>
        <v>76941.774814999997</v>
      </c>
      <c r="AK11" s="8">
        <f>389.907043625*1000</f>
        <v>389907.04362499999</v>
      </c>
    </row>
    <row r="12" spans="1:37" x14ac:dyDescent="0.25">
      <c r="A12" s="10">
        <v>2011</v>
      </c>
      <c r="B12" s="6">
        <f>4597.58149998482*1000</f>
        <v>4597581.4999848194</v>
      </c>
      <c r="C12" s="7">
        <f>160.529750000075*1000</f>
        <v>160529.750000075</v>
      </c>
      <c r="D12" s="7">
        <f>1030.93525000225*1000</f>
        <v>1030935.2500022501</v>
      </c>
      <c r="E12" s="7">
        <f>3406.1164999825*1000</f>
        <v>3406116.4999825</v>
      </c>
      <c r="F12" s="7">
        <f>3308.12524998525*1000</f>
        <v>3308125.2499852497</v>
      </c>
      <c r="G12" s="7">
        <f>141.23039817275*1000</f>
        <v>141230.39817274999</v>
      </c>
      <c r="H12" s="7">
        <f>647.6265866125*1000</f>
        <v>647626.58661250002</v>
      </c>
      <c r="I12" s="7">
        <f>2519.2682652*1000</f>
        <v>2519268.2651999998</v>
      </c>
      <c r="J12" s="7">
        <f>1289.45624999957*1000</f>
        <v>1289456.24999957</v>
      </c>
      <c r="K12" s="7">
        <f>19.299351827325*1000</f>
        <v>19299.351827325001</v>
      </c>
      <c r="L12" s="7">
        <f>383.30866338975*1000</f>
        <v>383308.66338975</v>
      </c>
      <c r="M12" s="7">
        <f>886.8482347825*1000</f>
        <v>886848.23478249996</v>
      </c>
      <c r="N12" s="7">
        <f>2531.5062499975*1000</f>
        <v>2531506.2499975003</v>
      </c>
      <c r="O12" s="7">
        <f>103.068*1000</f>
        <v>103068</v>
      </c>
      <c r="P12" s="7">
        <f>791.70925*1000</f>
        <v>791709.25</v>
      </c>
      <c r="Q12" s="7">
        <f>1636.7289999975*1000</f>
        <v>1636728.9999975001</v>
      </c>
      <c r="R12" s="7">
        <f>1746.172999997*1000</f>
        <v>1746172.999997</v>
      </c>
      <c r="S12" s="7">
        <f>90.177721302*1000</f>
        <v>90177.721301999991</v>
      </c>
      <c r="T12" s="7">
        <f>490.73431122*1000</f>
        <v>490734.31121999997</v>
      </c>
      <c r="U12" s="7">
        <f>1165.260967475*1000</f>
        <v>1165260.9674749998</v>
      </c>
      <c r="V12" s="7">
        <f>785.3332500005*1000</f>
        <v>785333.2500005</v>
      </c>
      <c r="W12" s="5">
        <f>12.890278698*1000</f>
        <v>12890.278698</v>
      </c>
      <c r="X12" s="7">
        <f>300.97493878*1000</f>
        <v>300974.93878000003</v>
      </c>
      <c r="Y12" s="7">
        <f>471.4680325225*1000</f>
        <v>471468.03252249997</v>
      </c>
      <c r="Z12" s="7">
        <f>2066.07524998732*1000</f>
        <v>2066075.24998732</v>
      </c>
      <c r="AA12" s="7">
        <f>57.461750000075*1000</f>
        <v>57461.750000075001</v>
      </c>
      <c r="AB12" s="7">
        <f>239.22600000225*1000</f>
        <v>239226.00000225002</v>
      </c>
      <c r="AC12" s="7">
        <f>1769.387499985*1000</f>
        <v>1769387.4999849999</v>
      </c>
      <c r="AD12" s="7">
        <f>1561.95224998825*1000</f>
        <v>1561952.24998825</v>
      </c>
      <c r="AE12" s="7">
        <f>51.05267687075*1000</f>
        <v>51052.676870750001</v>
      </c>
      <c r="AF12" s="7">
        <f>156.8922753925*1000</f>
        <v>156892.27539250001</v>
      </c>
      <c r="AG12" s="7">
        <f>1354.007297725*1000</f>
        <v>1354007.297725</v>
      </c>
      <c r="AH12" s="7">
        <f>504.122999999075*1000</f>
        <v>504122.99999907496</v>
      </c>
      <c r="AI12" s="5">
        <f>6.409073129325*1000</f>
        <v>6409.0731293250001</v>
      </c>
      <c r="AJ12" s="7">
        <f>82.33372460975*1000</f>
        <v>82333.724609750003</v>
      </c>
      <c r="AK12" s="8">
        <f>415.38020226*1000</f>
        <v>415380.20225999999</v>
      </c>
    </row>
    <row r="13" spans="1:37" x14ac:dyDescent="0.25">
      <c r="A13" s="10">
        <v>2012</v>
      </c>
      <c r="B13" s="6">
        <f>4679.46775043252*1000</f>
        <v>4679467.7504325202</v>
      </c>
      <c r="C13" s="7">
        <f>162.136750000025*1000</f>
        <v>162136.750000025</v>
      </c>
      <c r="D13" s="7">
        <f>1038.0167503775*1000</f>
        <v>1038016.7503775001</v>
      </c>
      <c r="E13" s="7">
        <f>3479.314250055*1000</f>
        <v>3479314.2500549997</v>
      </c>
      <c r="F13" s="7">
        <f>3329.3650002705*1000</f>
        <v>3329365.0002704998</v>
      </c>
      <c r="G13" s="7">
        <f>142.3920751255*1000</f>
        <v>142392.07512550001</v>
      </c>
      <c r="H13" s="7">
        <f>647.902249345*1000</f>
        <v>647902.24934500002</v>
      </c>
      <c r="I13" s="7">
        <f>2539.0706758*1000</f>
        <v>2539070.6758000003</v>
      </c>
      <c r="J13" s="7">
        <f>1350.10275016202*1000</f>
        <v>1350102.7501620199</v>
      </c>
      <c r="K13" s="7">
        <f>19.744674874525*1000</f>
        <v>19744.674874525001</v>
      </c>
      <c r="L13" s="7">
        <f>390.1145010325*1000</f>
        <v>390114.5010325</v>
      </c>
      <c r="M13" s="7">
        <f>940.243574255*1000</f>
        <v>940243.57425499998</v>
      </c>
      <c r="N13" s="7">
        <f>2569.766750435*1000</f>
        <v>2569766.7504350003</v>
      </c>
      <c r="O13" s="7">
        <f>101.441*1000</f>
        <v>101441</v>
      </c>
      <c r="P13" s="7">
        <f>796.7735003775*1000</f>
        <v>796773.50037749996</v>
      </c>
      <c r="Q13" s="7">
        <f>1671.5522500575*1000</f>
        <v>1671552.2500575001</v>
      </c>
      <c r="R13" s="7">
        <f>1755.176000274*1000</f>
        <v>1755176.000274</v>
      </c>
      <c r="S13" s="7">
        <f>88.3281318665*1000</f>
        <v>88328.1318665</v>
      </c>
      <c r="T13" s="7">
        <f>490.3440098075*1000</f>
        <v>490344.0098075</v>
      </c>
      <c r="U13" s="7">
        <f>1176.5038586*1000</f>
        <v>1176503.8586000002</v>
      </c>
      <c r="V13" s="7">
        <f>814.590750161*1000</f>
        <v>814590.75016099995</v>
      </c>
      <c r="W13" s="5">
        <f>13.1128681335*1000</f>
        <v>13112.8681335</v>
      </c>
      <c r="X13" s="7">
        <f>306.42949057*1000</f>
        <v>306429.49056999997</v>
      </c>
      <c r="Y13" s="7">
        <f>495.0483914575*1000</f>
        <v>495048.39145749999</v>
      </c>
      <c r="Z13" s="7">
        <f>2109.70099999753*1000</f>
        <v>2109700.9999975297</v>
      </c>
      <c r="AA13" s="7">
        <f>60.695750000025*1000</f>
        <v>60695.750000025</v>
      </c>
      <c r="AB13" s="7">
        <f>241.24325*1000</f>
        <v>241243.25</v>
      </c>
      <c r="AC13" s="7">
        <f>1807.7619999975*1000</f>
        <v>1807761.9999974999</v>
      </c>
      <c r="AD13" s="7">
        <f>1574.1889999965*1000</f>
        <v>1574188.9999964999</v>
      </c>
      <c r="AE13" s="7">
        <f>54.063943259*1000</f>
        <v>54063.943259</v>
      </c>
      <c r="AF13" s="7">
        <f>157.5582395375*1000</f>
        <v>157558.23953749999</v>
      </c>
      <c r="AG13" s="7">
        <f>1362.5668172*1000</f>
        <v>1362566.8172000002</v>
      </c>
      <c r="AH13" s="7">
        <f>535.512000001025*1000</f>
        <v>535512.00000102492</v>
      </c>
      <c r="AI13" s="5">
        <f>6.631806741025*1000</f>
        <v>6631.8067410249996</v>
      </c>
      <c r="AJ13" s="7">
        <f>83.6850104625*1000</f>
        <v>83685.010462500009</v>
      </c>
      <c r="AK13" s="8">
        <f>445.1951827975*1000</f>
        <v>445195.18279750005</v>
      </c>
    </row>
    <row r="14" spans="1:37" x14ac:dyDescent="0.25">
      <c r="A14" s="10">
        <v>2013</v>
      </c>
      <c r="B14" s="6">
        <f>4736.0497500106*1000</f>
        <v>4736049.7500106003</v>
      </c>
      <c r="C14" s="7">
        <f>164.30875000085*1000</f>
        <v>164308.75000085001</v>
      </c>
      <c r="D14" s="7">
        <f>1031.58500004725*1000</f>
        <v>1031585.0000472501</v>
      </c>
      <c r="E14" s="7">
        <f>3540.1559999625*1000</f>
        <v>3540155.9999625003</v>
      </c>
      <c r="F14" s="7">
        <f>3341.91024999225*1000</f>
        <v>3341910.24999225</v>
      </c>
      <c r="G14" s="7">
        <f>142.72534871475*1000</f>
        <v>142725.34871475</v>
      </c>
      <c r="H14" s="7">
        <f>639.4389653525*1000</f>
        <v>639438.96535249997</v>
      </c>
      <c r="I14" s="7">
        <f>2559.745935925*1000</f>
        <v>2559745.9359250003</v>
      </c>
      <c r="J14" s="7">
        <f>1394.13950001835*1000</f>
        <v>1394139.5000183498</v>
      </c>
      <c r="K14" s="7">
        <f>21.5834012861*1000</f>
        <v>21583.401286099997</v>
      </c>
      <c r="L14" s="7">
        <f>392.14603469475*1000</f>
        <v>392146.03469475004</v>
      </c>
      <c r="M14" s="7">
        <f>980.4100640375*1000</f>
        <v>980410.06403749995</v>
      </c>
      <c r="N14" s="7">
        <f>2593.319999986*1000</f>
        <v>2593319.9999859999</v>
      </c>
      <c r="O14" s="7">
        <f>106.452250001*1000</f>
        <v>106452.25000099999</v>
      </c>
      <c r="P14" s="7">
        <f>791.15525*1000</f>
        <v>791155.25</v>
      </c>
      <c r="Q14" s="7">
        <f>1695.712499985*1000</f>
        <v>1695712.4999850001</v>
      </c>
      <c r="R14" s="7">
        <f>1751.86324998575*1000</f>
        <v>1751863.2499857498</v>
      </c>
      <c r="S14" s="7">
        <f>91.31628123075*1000</f>
        <v>91316.281230749999</v>
      </c>
      <c r="T14" s="7">
        <f>482.28210158*1000</f>
        <v>482282.10158000002</v>
      </c>
      <c r="U14" s="7">
        <f>1178.264867175*1000</f>
        <v>1178264.867175</v>
      </c>
      <c r="V14" s="7">
        <f>841.45675000025*1000</f>
        <v>841456.75000025006</v>
      </c>
      <c r="W14" s="5">
        <f>15.13596877025*1000</f>
        <v>15135.968770250001</v>
      </c>
      <c r="X14" s="7">
        <f>308.87314842*1000</f>
        <v>308873.14841999998</v>
      </c>
      <c r="Y14" s="7">
        <f>517.44763281*1000</f>
        <v>517447.63280999998</v>
      </c>
      <c r="Z14" s="7">
        <f>2142.7297500246*1000</f>
        <v>2142729.7500246</v>
      </c>
      <c r="AA14" s="7">
        <f>57.85649999985*1000</f>
        <v>57856.499999849999</v>
      </c>
      <c r="AB14" s="7">
        <f>240.42975004725*1000</f>
        <v>240429.75004725001</v>
      </c>
      <c r="AC14" s="7">
        <f>1844.4434999775*1000</f>
        <v>1844443.4999775002</v>
      </c>
      <c r="AD14" s="7">
        <f>1590.0470000065*1000</f>
        <v>1590047.0000064999</v>
      </c>
      <c r="AE14" s="7">
        <f>51.409067484*1000</f>
        <v>51409.067483999999</v>
      </c>
      <c r="AF14" s="7">
        <f>157.1568637725*1000</f>
        <v>157156.86377250002</v>
      </c>
      <c r="AG14" s="7">
        <f>1381.48106875*1000</f>
        <v>1381481.0687500001</v>
      </c>
      <c r="AH14" s="7">
        <f>552.6827500181*1000</f>
        <v>552682.75001810002</v>
      </c>
      <c r="AI14" s="5">
        <f>6.44743251585*1000</f>
        <v>6447.4325158500005</v>
      </c>
      <c r="AJ14" s="7">
        <f>83.27288627475*1000</f>
        <v>83272.886274749995</v>
      </c>
      <c r="AK14" s="8">
        <f>462.9624312275*1000</f>
        <v>462962.43122750003</v>
      </c>
    </row>
    <row r="15" spans="1:37" x14ac:dyDescent="0.25">
      <c r="A15" s="10">
        <v>2014</v>
      </c>
      <c r="B15" s="6">
        <f>4825.24974999482*1000</f>
        <v>4825249.74999482</v>
      </c>
      <c r="C15" s="7">
        <f>169.930750000075*1000</f>
        <v>169930.750000075</v>
      </c>
      <c r="D15" s="7">
        <f>1045.06624999975*1000</f>
        <v>1045066.2499997499</v>
      </c>
      <c r="E15" s="7">
        <f>3610.252749995*1000</f>
        <v>3610252.7499950002</v>
      </c>
      <c r="F15" s="7">
        <f>3373.2602499965*1000</f>
        <v>3373260.2499965001</v>
      </c>
      <c r="G15" s="7">
        <f>146.8974151215*1000</f>
        <v>146897.4151215</v>
      </c>
      <c r="H15" s="7">
        <f>643.688142675*1000</f>
        <v>643688.14267500001</v>
      </c>
      <c r="I15" s="7">
        <f>2582.6746922*1000</f>
        <v>2582674.6922000004</v>
      </c>
      <c r="J15" s="7">
        <f>1451.98949999832*1000</f>
        <v>1451989.4999983201</v>
      </c>
      <c r="K15" s="7">
        <f>23.033334878575*1000</f>
        <v>23033.334878575002</v>
      </c>
      <c r="L15" s="7">
        <f>401.37810732475*1000</f>
        <v>401378.10732474999</v>
      </c>
      <c r="M15" s="7">
        <f>1027.578057795*1000</f>
        <v>1027578.0577949999</v>
      </c>
      <c r="N15" s="7">
        <f>2631.5469999975*1000</f>
        <v>2631546.9999974999</v>
      </c>
      <c r="O15" s="7">
        <f>111.58125*1000</f>
        <v>111581.25</v>
      </c>
      <c r="P15" s="7">
        <f>799.13825*1000</f>
        <v>799138.25</v>
      </c>
      <c r="Q15" s="7">
        <f>1720.8274999975*1000</f>
        <v>1720827.4999974999</v>
      </c>
      <c r="R15" s="7">
        <f>1755.0352499995*1000</f>
        <v>1755035.2499994999</v>
      </c>
      <c r="S15" s="7">
        <f>96.0252543745*1000</f>
        <v>96025.2543745</v>
      </c>
      <c r="T15" s="7">
        <f>484.7926148*1000</f>
        <v>484792.61480000004</v>
      </c>
      <c r="U15" s="7">
        <f>1174.217380825*1000</f>
        <v>1174217.3808249999</v>
      </c>
      <c r="V15" s="7">
        <f>876.511749998*1000</f>
        <v>876511.74999799998</v>
      </c>
      <c r="W15" s="5">
        <f>15.5559956255*1000</f>
        <v>15555.9956255</v>
      </c>
      <c r="X15" s="7">
        <f>314.3456352*1000</f>
        <v>314345.63520000002</v>
      </c>
      <c r="Y15" s="7">
        <f>546.6101191725*1000</f>
        <v>546610.1191725001</v>
      </c>
      <c r="Z15" s="7">
        <f>2193.70274999732*1000</f>
        <v>2193702.7499973201</v>
      </c>
      <c r="AA15" s="7">
        <f>58.349500000075*1000</f>
        <v>58349.500000074993</v>
      </c>
      <c r="AB15" s="7">
        <f>245.92799999975*1000</f>
        <v>245927.99999975</v>
      </c>
      <c r="AC15" s="7">
        <f>1889.4252499975*1000</f>
        <v>1889425.2499975001</v>
      </c>
      <c r="AD15" s="7">
        <f>1618.224999997*1000</f>
        <v>1618224.999997</v>
      </c>
      <c r="AE15" s="7">
        <f>50.872160747*1000</f>
        <v>50872.160747000002</v>
      </c>
      <c r="AF15" s="7">
        <f>158.895527875*1000</f>
        <v>158895.527875</v>
      </c>
      <c r="AG15" s="7">
        <f>1408.457311375*1000</f>
        <v>1408457.311375</v>
      </c>
      <c r="AH15" s="7">
        <f>575.477750000325*1000</f>
        <v>575477.75000032503</v>
      </c>
      <c r="AI15" s="5">
        <f>7.477339253075*1000</f>
        <v>7477.3392530749998</v>
      </c>
      <c r="AJ15" s="7">
        <f>87.03247212475*1000</f>
        <v>87032.472124749998</v>
      </c>
      <c r="AK15" s="8">
        <f>480.9679386225*1000</f>
        <v>480967.93862249999</v>
      </c>
    </row>
    <row r="16" spans="1:37" x14ac:dyDescent="0.25">
      <c r="A16" s="10">
        <v>2015</v>
      </c>
      <c r="B16" s="6">
        <f>4899.1555002838*1000</f>
        <v>4899155.5002838001</v>
      </c>
      <c r="C16" s="7">
        <f>165.89825000005*1000</f>
        <v>165898.25000005</v>
      </c>
      <c r="D16" s="7">
        <f>1051.59675027125*1000</f>
        <v>1051596.7502712498</v>
      </c>
      <c r="E16" s="7">
        <f>3681.6605000125*1000</f>
        <v>3681660.5000125002</v>
      </c>
      <c r="F16" s="7">
        <f>3404.359250185*1000</f>
        <v>3404359.2501849998</v>
      </c>
      <c r="G16" s="7">
        <f>144.4621315775*1000</f>
        <v>144462.1315775</v>
      </c>
      <c r="H16" s="7">
        <f>646.1819979075*1000</f>
        <v>646181.99790750002</v>
      </c>
      <c r="I16" s="7">
        <f>2613.7151207*1000</f>
        <v>2613715.1207000003</v>
      </c>
      <c r="J16" s="7">
        <f>1494.7962500988*1000</f>
        <v>1494796.2500988001</v>
      </c>
      <c r="K16" s="7">
        <f>21.43611842255*1000</f>
        <v>21436.11842255</v>
      </c>
      <c r="L16" s="7">
        <f>405.41475236375*1000</f>
        <v>405414.75236374995</v>
      </c>
      <c r="M16" s="7">
        <f>1067.9453793125*1000</f>
        <v>1067945.3793125001</v>
      </c>
      <c r="N16" s="7">
        <f>2666.43875005508*1000</f>
        <v>2666438.7500550803</v>
      </c>
      <c r="O16" s="7">
        <f>103.239500000075*1000</f>
        <v>103239.500000075</v>
      </c>
      <c r="P16" s="7">
        <f>806.13725003*1000</f>
        <v>806137.25003</v>
      </c>
      <c r="Q16" s="7">
        <f>1757.062000025*1000</f>
        <v>1757062.0000250002</v>
      </c>
      <c r="R16" s="7">
        <f>1767.67800004175*1000</f>
        <v>1767678.00004175</v>
      </c>
      <c r="S16" s="7">
        <f>89.45732990925*1000</f>
        <v>89457.329909250009</v>
      </c>
      <c r="T16" s="7">
        <f>489.2368480825*1000</f>
        <v>489236.84808249999</v>
      </c>
      <c r="U16" s="7">
        <f>1188.98382205*1000</f>
        <v>1188983.8220500001</v>
      </c>
      <c r="V16" s="7">
        <f>898.760750013325*1000</f>
        <v>898760.75001332501</v>
      </c>
      <c r="W16" s="5">
        <f>13.782170090825*1000</f>
        <v>13782.170090825</v>
      </c>
      <c r="X16" s="7">
        <f>316.9004019475*1000</f>
        <v>316900.40194749995</v>
      </c>
      <c r="Y16" s="7">
        <f>568.078177975*1000</f>
        <v>568078.177975</v>
      </c>
      <c r="Z16" s="7">
        <f>2232.71675022873*1000</f>
        <v>2232716.7502287296</v>
      </c>
      <c r="AA16" s="7">
        <f>62.658749999975*1000</f>
        <v>62658.749999975</v>
      </c>
      <c r="AB16" s="7">
        <f>245.45950024125*1000</f>
        <v>245459.50024125</v>
      </c>
      <c r="AC16" s="7">
        <f>1924.5984999875*1000</f>
        <v>1924598.4999875</v>
      </c>
      <c r="AD16" s="7">
        <f>1636.68125014325*1000</f>
        <v>1636681.25014325</v>
      </c>
      <c r="AE16" s="7">
        <f>55.00480166825*1000</f>
        <v>55004.801668250002</v>
      </c>
      <c r="AF16" s="7">
        <f>156.945149825*1000</f>
        <v>156945.149825</v>
      </c>
      <c r="AG16" s="7">
        <f>1424.73129865*1000</f>
        <v>1424731.29865</v>
      </c>
      <c r="AH16" s="7">
        <f>596.035500085475*1000</f>
        <v>596035.50008547492</v>
      </c>
      <c r="AI16" s="5">
        <f>7.653948331725*1000</f>
        <v>7653.9483317249997</v>
      </c>
      <c r="AJ16" s="7">
        <f>88.51435041625*1000</f>
        <v>88514.350416250003</v>
      </c>
      <c r="AK16" s="8">
        <f>499.8672013375*1000</f>
        <v>499867.20133749995</v>
      </c>
    </row>
    <row r="17" spans="1:37" x14ac:dyDescent="0.25">
      <c r="A17" s="10">
        <v>2016</v>
      </c>
      <c r="B17" s="6">
        <f>4967.2687499653*1000</f>
        <v>4967268.7499652999</v>
      </c>
      <c r="C17" s="7">
        <f>164.48300000005*1000</f>
        <v>164483.00000005</v>
      </c>
      <c r="D17" s="7">
        <f>1044.99100000025*1000</f>
        <v>1044991.0000002501</v>
      </c>
      <c r="E17" s="7">
        <f>3757.794749965*1000</f>
        <v>3757794.749965</v>
      </c>
      <c r="F17" s="7">
        <f>3441.6659999665*1000</f>
        <v>3441665.9999664999</v>
      </c>
      <c r="G17" s="7">
        <f>143.1899600115*1000</f>
        <v>143189.96001149999</v>
      </c>
      <c r="H17" s="7">
        <f>644.531161105*1000</f>
        <v>644531.16110500006</v>
      </c>
      <c r="I17" s="7">
        <f>2653.94487885*1000</f>
        <v>2653944.87885</v>
      </c>
      <c r="J17" s="7">
        <f>1525.6027499988*1000</f>
        <v>1525602.7499988</v>
      </c>
      <c r="K17" s="7">
        <f>21.29303998855*1000</f>
        <v>21293.039988550001</v>
      </c>
      <c r="L17" s="7">
        <f>400.45983889525*1000</f>
        <v>400459.83889525</v>
      </c>
      <c r="M17" s="7">
        <f>1103.849871115*1000</f>
        <v>1103849.871115</v>
      </c>
      <c r="N17" s="7">
        <f>2694.5599999775*1000</f>
        <v>2694559.9999775002</v>
      </c>
      <c r="O17" s="7">
        <f>101.426*1000</f>
        <v>101426</v>
      </c>
      <c r="P17" s="7">
        <f>801.752*1000</f>
        <v>801752</v>
      </c>
      <c r="Q17" s="7">
        <f>1791.3819999775*1000</f>
        <v>1791381.9999775002</v>
      </c>
      <c r="R17" s="7">
        <f>1786.163499978*1000</f>
        <v>1786163.4999779998</v>
      </c>
      <c r="S17" s="7">
        <f>87.748636623*1000</f>
        <v>87748.636622999999</v>
      </c>
      <c r="T17" s="7">
        <f>488.315481005*1000</f>
        <v>488315.48100500001</v>
      </c>
      <c r="U17" s="7">
        <f>1210.09938235*1000</f>
        <v>1210099.3823500001</v>
      </c>
      <c r="V17" s="7">
        <f>908.3964999995*1000</f>
        <v>908396.4999995</v>
      </c>
      <c r="W17" s="5">
        <f>13.677363377*1000</f>
        <v>13677.363377000001</v>
      </c>
      <c r="X17" s="7">
        <f>313.436518995*1000</f>
        <v>313436.51899499999</v>
      </c>
      <c r="Y17" s="7">
        <f>581.2826176275*1000</f>
        <v>581282.61762749997</v>
      </c>
      <c r="Z17" s="7">
        <f>2272.7087499878*1000</f>
        <v>2272708.7499877997</v>
      </c>
      <c r="AA17" s="7">
        <f>63.05700000005*1000</f>
        <v>63057.00000005</v>
      </c>
      <c r="AB17" s="7">
        <f>243.23900000025*1000</f>
        <v>243239.00000025</v>
      </c>
      <c r="AC17" s="7">
        <f>1966.4127499875*1000</f>
        <v>1966412.7499875</v>
      </c>
      <c r="AD17" s="7">
        <f>1655.5024999885*1000</f>
        <v>1655502.4999885</v>
      </c>
      <c r="AE17" s="7">
        <f>55.4413233885*1000</f>
        <v>55441.323388500001</v>
      </c>
      <c r="AF17" s="7">
        <f>156.2156801*1000</f>
        <v>156215.6801</v>
      </c>
      <c r="AG17" s="7">
        <f>1443.8454965*1000</f>
        <v>1443845.4965000001</v>
      </c>
      <c r="AH17" s="7">
        <f>617.2062499993*1000</f>
        <v>617206.24999929999</v>
      </c>
      <c r="AI17" s="5">
        <f>7.61567661155*1000</f>
        <v>7615.6766115499995</v>
      </c>
      <c r="AJ17" s="7">
        <f>87.02331990025*1000</f>
        <v>87023.319900250004</v>
      </c>
      <c r="AK17" s="8">
        <f>522.5672534875*1000</f>
        <v>522567.25348750001</v>
      </c>
    </row>
    <row r="18" spans="1:37" x14ac:dyDescent="0.25">
      <c r="A18" s="10">
        <v>2017</v>
      </c>
      <c r="B18" s="6">
        <f>5012.5495000702*1000</f>
        <v>5012549.5000702003</v>
      </c>
      <c r="C18" s="7">
        <f>155.260749999725*1000</f>
        <v>155260.749999725</v>
      </c>
      <c r="D18" s="7">
        <f>1045.4427500505*1000</f>
        <v>1045442.7500505</v>
      </c>
      <c r="E18" s="7">
        <f>3811.84600002*1000</f>
        <v>3811846.0000199997</v>
      </c>
      <c r="F18" s="7">
        <f>3453.78625004975*1000</f>
        <v>3453786.2500497499</v>
      </c>
      <c r="G18" s="7">
        <f>134.16259538225*1000</f>
        <v>134162.59538225</v>
      </c>
      <c r="H18" s="7">
        <f>636.7574329175*1000</f>
        <v>636757.43291749991</v>
      </c>
      <c r="I18" s="7">
        <f>2682.86622175*1000</f>
        <v>2682866.22175</v>
      </c>
      <c r="J18" s="7">
        <f>1558.76325002047*1000</f>
        <v>1558763.25002047</v>
      </c>
      <c r="K18" s="7">
        <f>21.098154617475*1000</f>
        <v>21098.154617475</v>
      </c>
      <c r="L18" s="7">
        <f>408.685317133*1000</f>
        <v>408685.317133</v>
      </c>
      <c r="M18" s="7">
        <f>1128.97977827*1000</f>
        <v>1128979.7782699999</v>
      </c>
      <c r="N18" s="7">
        <f>2731.4005000249*1000</f>
        <v>2731400.5000248998</v>
      </c>
      <c r="O18" s="7">
        <f>96.4849999999*1000</f>
        <v>96484.999999899999</v>
      </c>
      <c r="P18" s="7">
        <f>805.06275*1000</f>
        <v>805062.75</v>
      </c>
      <c r="Q18" s="7">
        <f>1829.852750025*1000</f>
        <v>1829852.750025</v>
      </c>
      <c r="R18" s="7">
        <f>1790.3665000225*1000</f>
        <v>1790366.5000225001</v>
      </c>
      <c r="S18" s="7">
        <f>83.6120324625*1000</f>
        <v>83612.032462499992</v>
      </c>
      <c r="T18" s="7">
        <f>482.218941785*1000</f>
        <v>482218.94178500003</v>
      </c>
      <c r="U18" s="7">
        <f>1224.535525775*1000</f>
        <v>1224535.525775</v>
      </c>
      <c r="V18" s="7">
        <f>941.0340000024*1000</f>
        <v>941034.00000240002</v>
      </c>
      <c r="W18" s="5">
        <f>12.8729675374*1000</f>
        <v>12872.9675374</v>
      </c>
      <c r="X18" s="7">
        <f>322.843808215*1000</f>
        <v>322843.80821500003</v>
      </c>
      <c r="Y18" s="7">
        <f>605.31722425*1000</f>
        <v>605317.22424999997</v>
      </c>
      <c r="Z18" s="7">
        <f>2281.14900004533*1000</f>
        <v>2281149.0000453298</v>
      </c>
      <c r="AA18" s="7">
        <f>58.775749999825*1000</f>
        <v>58775.749999825006</v>
      </c>
      <c r="AB18" s="7">
        <f>240.3800000505*1000</f>
        <v>240380.00005050001</v>
      </c>
      <c r="AC18" s="7">
        <f>1981.993249995*1000</f>
        <v>1981993.249995</v>
      </c>
      <c r="AD18" s="7">
        <f>1663.41975002725*1000</f>
        <v>1663419.75002725</v>
      </c>
      <c r="AE18" s="7">
        <f>50.55056291975*1000</f>
        <v>50550.562919750002</v>
      </c>
      <c r="AF18" s="7">
        <f>154.5384911325*1000</f>
        <v>154538.4911325</v>
      </c>
      <c r="AG18" s="7">
        <f>1458.330695975*1000</f>
        <v>1458330.695975</v>
      </c>
      <c r="AH18" s="7">
        <f>617.729250018075*1000</f>
        <v>617729.25001807499</v>
      </c>
      <c r="AI18" s="5">
        <f>8.225187080075*1000</f>
        <v>8225.1870800750003</v>
      </c>
      <c r="AJ18" s="7">
        <f>85.841508918*1000</f>
        <v>85841.508918000007</v>
      </c>
      <c r="AK18" s="8">
        <f>523.66255402*1000</f>
        <v>523662.55402000004</v>
      </c>
    </row>
    <row r="19" spans="1:37" x14ac:dyDescent="0.25">
      <c r="A19" s="10">
        <v>2018</v>
      </c>
      <c r="B19" s="6">
        <f>5064.54774999915*1000</f>
        <v>5064547.7499991506</v>
      </c>
      <c r="C19" s="7">
        <f>152.43725000015*1000</f>
        <v>152437.25000015</v>
      </c>
      <c r="D19" s="7">
        <f>1051.009749999*1000</f>
        <v>1051009.749999</v>
      </c>
      <c r="E19" s="7">
        <f>3861.10075*1000</f>
        <v>3861100.75</v>
      </c>
      <c r="F19" s="7">
        <f>3469.87975000075*1000</f>
        <v>3469879.7500007497</v>
      </c>
      <c r="G19" s="7">
        <f>129.83105392825*1000</f>
        <v>129831.05392824998</v>
      </c>
      <c r="H19" s="7">
        <f>640.6441737975*1000</f>
        <v>640644.17379749997</v>
      </c>
      <c r="I19" s="7">
        <f>2699.404522275*1000</f>
        <v>2699404.5222749999</v>
      </c>
      <c r="J19" s="7">
        <f>1594.6679999984*1000</f>
        <v>1594667.9999984</v>
      </c>
      <c r="K19" s="7">
        <f>22.6061960719*1000</f>
        <v>22606.196071900002</v>
      </c>
      <c r="L19" s="7">
        <f>410.3655762015*1000</f>
        <v>410365.57620150002</v>
      </c>
      <c r="M19" s="7">
        <f>1161.696227725*1000</f>
        <v>1161696.2277249999</v>
      </c>
      <c r="N19" s="7">
        <f>2757.24649998995*1000</f>
        <v>2757246.4999899496</v>
      </c>
      <c r="O19" s="7">
        <f>94.28999999995*1000</f>
        <v>94289.99999995</v>
      </c>
      <c r="P19" s="7">
        <f>807.38875*1000</f>
        <v>807388.75</v>
      </c>
      <c r="Q19" s="7">
        <f>1855.56774999*1000</f>
        <v>1855567.7499899999</v>
      </c>
      <c r="R19" s="7">
        <f>1801.0067499935*1000</f>
        <v>1801006.7499935001</v>
      </c>
      <c r="S19" s="7">
        <f>80.5322123585*1000</f>
        <v>80532.212358500008</v>
      </c>
      <c r="T19" s="7">
        <f>482.066801235*1000</f>
        <v>482066.80123500002</v>
      </c>
      <c r="U19" s="7">
        <f>1238.4077364*1000</f>
        <v>1238407.7364000001</v>
      </c>
      <c r="V19" s="7">
        <f>956.23974999645*1000</f>
        <v>956239.74999645003</v>
      </c>
      <c r="W19" s="5">
        <f>13.75778764145*1000</f>
        <v>13757.787641449999</v>
      </c>
      <c r="X19" s="7">
        <f>325.321948765*1000</f>
        <v>325321.94876499998</v>
      </c>
      <c r="Y19" s="7">
        <f>617.16001359*1000</f>
        <v>617160.01358999999</v>
      </c>
      <c r="Z19" s="7">
        <f>2307.3012500092*1000</f>
        <v>2307301.2500092001</v>
      </c>
      <c r="AA19" s="7">
        <f>58.1472500002*1000</f>
        <v>58147.250000200002</v>
      </c>
      <c r="AB19" s="7">
        <f>243.620999999*1000</f>
        <v>243620.99999899999</v>
      </c>
      <c r="AC19" s="7">
        <f>2005.53300001*1000</f>
        <v>2005533.0000100001</v>
      </c>
      <c r="AD19" s="7">
        <f>1668.87300000725*1000</f>
        <v>1668873.0000072501</v>
      </c>
      <c r="AE19" s="7">
        <f>49.29884156975*1000</f>
        <v>49298.841569750002</v>
      </c>
      <c r="AF19" s="7">
        <f>158.5773725625*1000</f>
        <v>158577.37256249998</v>
      </c>
      <c r="AG19" s="7">
        <f>1460.996785875*1000</f>
        <v>1460996.7858749998</v>
      </c>
      <c r="AH19" s="7">
        <f>638.42825000195*1000</f>
        <v>638428.25000194996</v>
      </c>
      <c r="AI19" s="5">
        <f>8.84840843045*1000</f>
        <v>8848.4084304499993</v>
      </c>
      <c r="AJ19" s="7">
        <f>85.0436274365*1000</f>
        <v>85043.627436499999</v>
      </c>
      <c r="AK19" s="8">
        <f>544.536214135*1000</f>
        <v>544536.21413500002</v>
      </c>
    </row>
    <row r="20" spans="1:37" x14ac:dyDescent="0.25">
      <c r="A20" s="11">
        <v>2019</v>
      </c>
      <c r="B20" s="6">
        <f>5100.63875070568*1000</f>
        <v>5100638.7507056799</v>
      </c>
      <c r="C20" s="7">
        <f>132.686499999925*1000</f>
        <v>132686.499999925</v>
      </c>
      <c r="D20" s="7">
        <f>1057.72400063575*1000</f>
        <v>1057724.0006357499</v>
      </c>
      <c r="E20" s="7">
        <f>3910.22825007*1000</f>
        <v>3910228.2500699996</v>
      </c>
      <c r="F20" s="7">
        <f>3474.742000438*1000</f>
        <v>3474742.0004380001</v>
      </c>
      <c r="G20" s="7">
        <f>112.8331553555*1000</f>
        <v>112833.1553555</v>
      </c>
      <c r="H20" s="7">
        <f>641.1834210075*1000</f>
        <v>641183.42100750003</v>
      </c>
      <c r="I20" s="7">
        <f>2720.725424075*1000</f>
        <v>2720725.424075</v>
      </c>
      <c r="J20" s="7">
        <f>1625.89675026767*1000</f>
        <v>1625896.75026767</v>
      </c>
      <c r="K20" s="7">
        <f>19.853344644425*1000</f>
        <v>19853.344644425</v>
      </c>
      <c r="L20" s="7">
        <f>416.54057962825*1000</f>
        <v>416540.57962824998</v>
      </c>
      <c r="M20" s="7">
        <f>1189.502825995*1000</f>
        <v>1189502.8259950001</v>
      </c>
      <c r="N20" s="7">
        <f>2769.4922506725*1000</f>
        <v>2769492.2506725001</v>
      </c>
      <c r="O20" s="7">
        <f>86.167*1000</f>
        <v>86167</v>
      </c>
      <c r="P20" s="7">
        <f>811.7765006075*1000</f>
        <v>811776.50060749997</v>
      </c>
      <c r="Q20" s="7">
        <f>1871.548750065*1000</f>
        <v>1871548.750065</v>
      </c>
      <c r="R20" s="7">
        <f>1798.94700041625*1000</f>
        <v>1798947.00041625</v>
      </c>
      <c r="S20" s="7">
        <f>71.72169334875*1000</f>
        <v>71721.693348749992</v>
      </c>
      <c r="T20" s="7">
        <f>486.2188501175*1000</f>
        <v>486218.8501175</v>
      </c>
      <c r="U20" s="7">
        <f>1241.00645695*1000</f>
        <v>1241006.45695</v>
      </c>
      <c r="V20" s="7">
        <f>970.54525025625*1000</f>
        <v>970545.25025625003</v>
      </c>
      <c r="W20" s="5">
        <f>14.44530665125*1000</f>
        <v>14445.306651250001</v>
      </c>
      <c r="X20" s="7">
        <f>325.55765049*1000</f>
        <v>325557.65049000003</v>
      </c>
      <c r="Y20" s="7">
        <f>630.542293115*1000</f>
        <v>630542.29311500001</v>
      </c>
      <c r="Z20" s="7">
        <f>2331.14650003318*1000</f>
        <v>2331146.5000331802</v>
      </c>
      <c r="AA20" s="7">
        <f>46.519499999925*1000</f>
        <v>46519.499999924999</v>
      </c>
      <c r="AB20" s="7">
        <f>245.94750002825*1000</f>
        <v>245947.50002825001</v>
      </c>
      <c r="AC20" s="7">
        <f>2038.679500005*1000</f>
        <v>2038679.5000049998</v>
      </c>
      <c r="AD20" s="7">
        <f>1675.79500002175*1000</f>
        <v>1675795.0000217499</v>
      </c>
      <c r="AE20" s="7">
        <f>41.11146200675*1000</f>
        <v>41111.46200675</v>
      </c>
      <c r="AF20" s="7">
        <f>154.96457089*1000</f>
        <v>154964.57089</v>
      </c>
      <c r="AG20" s="7">
        <f>1479.718967125*1000</f>
        <v>1479718.967125</v>
      </c>
      <c r="AH20" s="7">
        <f>655.351500011425*1000</f>
        <v>655351.500011425</v>
      </c>
      <c r="AI20" s="5">
        <f>5.408037993175*1000</f>
        <v>5408.0379931750003</v>
      </c>
      <c r="AJ20" s="7">
        <f>90.98292913825*1000</f>
        <v>90982.929138249994</v>
      </c>
      <c r="AK20" s="8">
        <f>558.96053288*1000</f>
        <v>558960.53287999996</v>
      </c>
    </row>
    <row r="21" spans="1:37" x14ac:dyDescent="0.25">
      <c r="A21" s="11">
        <v>2020</v>
      </c>
      <c r="B21" s="6">
        <f>5077.11525006572*1000</f>
        <v>5077115.2500657197</v>
      </c>
      <c r="C21" s="7">
        <f>132.330249999975*1000</f>
        <v>132330.249999975</v>
      </c>
      <c r="D21" s="7">
        <f>1050.32350004075*1000</f>
        <v>1050323.50004075</v>
      </c>
      <c r="E21" s="7">
        <f>3894.461500025*1000</f>
        <v>3894461.500025</v>
      </c>
      <c r="F21" s="7">
        <f>3439.775750049*1000</f>
        <v>3439775.7500490001</v>
      </c>
      <c r="G21" s="7">
        <f>113.0893608865*1000</f>
        <v>113089.3608865</v>
      </c>
      <c r="H21" s="7">
        <f>628.6800217375*1000</f>
        <v>628680.02173750009</v>
      </c>
      <c r="I21" s="7">
        <f>2698.006367425*1000</f>
        <v>2698006.3674249998</v>
      </c>
      <c r="J21" s="7">
        <f>1637.33950001673*1000</f>
        <v>1637339.50001673</v>
      </c>
      <c r="K21" s="7">
        <f>19.240889113475*1000</f>
        <v>19240.889113475001</v>
      </c>
      <c r="L21" s="7">
        <f>421.64347830325*1000</f>
        <v>421643.47830324998</v>
      </c>
      <c r="M21" s="7">
        <f>1196.4551326*1000</f>
        <v>1196455.1326000001</v>
      </c>
      <c r="N21" s="7">
        <f>2758.973249985*1000</f>
        <v>2758973.2499850001</v>
      </c>
      <c r="O21" s="7">
        <f>85.725*1000</f>
        <v>85725</v>
      </c>
      <c r="P21" s="7">
        <f>807.581*1000</f>
        <v>807581</v>
      </c>
      <c r="Q21" s="7">
        <f>1865.667249985*1000</f>
        <v>1865667.2499849999</v>
      </c>
      <c r="R21" s="7">
        <f>1780.90524998525*1000</f>
        <v>1780905.2499852502</v>
      </c>
      <c r="S21" s="7">
        <f>72.15569531025*1000</f>
        <v>72155.695310249997</v>
      </c>
      <c r="T21" s="7">
        <f>480.722261275*1000</f>
        <v>480722.261275</v>
      </c>
      <c r="U21" s="7">
        <f>1228.0272934*1000</f>
        <v>1228027.2933999998</v>
      </c>
      <c r="V21" s="7">
        <f>978.06799999975*1000</f>
        <v>978067.99999974994</v>
      </c>
      <c r="W21" s="5">
        <f>13.56930468975*1000</f>
        <v>13569.304689750001</v>
      </c>
      <c r="X21" s="7">
        <f>326.858738725*1000</f>
        <v>326858.738725</v>
      </c>
      <c r="Y21" s="7">
        <f>637.639956585*1000</f>
        <v>637639.95658500004</v>
      </c>
      <c r="Z21" s="7">
        <f>2318.14200008072*1000</f>
        <v>2318142.0000807201</v>
      </c>
      <c r="AA21" s="7">
        <f>46.605249999975*1000</f>
        <v>46605.249999975</v>
      </c>
      <c r="AB21" s="7">
        <f>242.74250004075*1000</f>
        <v>242742.50004074999</v>
      </c>
      <c r="AC21" s="7">
        <f>2028.79425004*1000</f>
        <v>2028794.2500399998</v>
      </c>
      <c r="AD21" s="7">
        <f>1658.87050006375*1000</f>
        <v>1658870.50006375</v>
      </c>
      <c r="AE21" s="7">
        <f>40.93366557625*1000</f>
        <v>40933.665576250001</v>
      </c>
      <c r="AF21" s="7">
        <f>147.9577604625*1000</f>
        <v>147957.76046250001</v>
      </c>
      <c r="AG21" s="7">
        <f>1469.979074025*1000</f>
        <v>1469979.074025</v>
      </c>
      <c r="AH21" s="7">
        <f>659.271500016975*1000</f>
        <v>659271.50001697498</v>
      </c>
      <c r="AI21" s="5">
        <f>5.671584423725*1000</f>
        <v>5671.5844237250003</v>
      </c>
      <c r="AJ21" s="7">
        <f>94.78473957825*1000</f>
        <v>94784.739578249995</v>
      </c>
      <c r="AK21" s="8">
        <f>558.815176015*1000</f>
        <v>558815.17601499998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IDZ-EDI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Robatti Mancini Vanessa</dc:creator>
  <cp:keywords/>
  <dc:description/>
  <cp:lastModifiedBy>Fabienne Belet</cp:lastModifiedBy>
  <cp:revision/>
  <dcterms:created xsi:type="dcterms:W3CDTF">2006-02-02T14:02:16Z</dcterms:created>
  <dcterms:modified xsi:type="dcterms:W3CDTF">2021-12-03T11:58:54Z</dcterms:modified>
  <cp:category/>
  <cp:contentStatus/>
</cp:coreProperties>
</file>