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6.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7.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8.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David\sciebo3\01_Input\H2_Tool_Jupyter\assets\excel\"/>
    </mc:Choice>
  </mc:AlternateContent>
  <xr:revisionPtr revIDLastSave="0" documentId="13_ncr:1_{A3804F63-2ACF-44A6-BE84-D359CB768710}" xr6:coauthVersionLast="47" xr6:coauthVersionMax="47" xr10:uidLastSave="{00000000-0000-0000-0000-000000000000}"/>
  <bookViews>
    <workbookView xWindow="28680" yWindow="-120" windowWidth="29040" windowHeight="17640" firstSheet="5" activeTab="5" xr2:uid="{132F899A-4C9C-4CBA-AD2A-93894D0FF674}"/>
  </bookViews>
  <sheets>
    <sheet name="Verzeichnis" sheetId="18" r:id="rId1"/>
    <sheet name="Übersicht" sheetId="1" r:id="rId2"/>
    <sheet name="H2 Produktion_Input" sheetId="2" r:id="rId3"/>
    <sheet name="H2 Produktion_Input_Wirkung" sheetId="3" r:id="rId4"/>
    <sheet name="H2 Produktion_Output" sheetId="4" r:id="rId5"/>
    <sheet name="Umwandlungen_Input" sheetId="7" r:id="rId6"/>
    <sheet name="Umwandlungen_Input_Wirkung" sheetId="9" r:id="rId7"/>
    <sheet name="Transport_Output_Wirkung" sheetId="11" r:id="rId8"/>
    <sheet name="Transport_Korrekturfaktoren" sheetId="12" r:id="rId9"/>
    <sheet name="OpenLCA Ergebnisse" sheetId="5" r:id="rId10"/>
    <sheet name="Umrechnungsparameter" sheetId="6" r:id="rId11"/>
    <sheet name="Entfernungen" sheetId="16" r:id="rId12"/>
    <sheet name="Preise" sheetId="8" r:id="rId13"/>
    <sheet name="Strommix_Regionen" sheetId="10" r:id="rId14"/>
    <sheet name="GWP_Strom" sheetId="17" r:id="rId15"/>
    <sheet name="GWP_Strom_ergänzung" sheetId="20" r:id="rId16"/>
    <sheet name="Volllaststunden" sheetId="19" r:id="rId17"/>
    <sheet name="GWP_Rohstoffe_Regionen" sheetId="13" r:id="rId18"/>
    <sheet name="Auslastung_Wirkungsgrad" sheetId="14" r:id="rId19"/>
    <sheet name="Charakterisierungsmatrix" sheetId="15"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2" i="7" l="1"/>
  <c r="C8" i="6"/>
  <c r="C5" i="6"/>
  <c r="D11" i="13"/>
  <c r="D10" i="13"/>
  <c r="C11" i="13"/>
  <c r="C10" i="13"/>
  <c r="B10" i="13"/>
  <c r="B9" i="13"/>
  <c r="C3" i="13"/>
  <c r="C5" i="13"/>
  <c r="D4" i="13"/>
  <c r="C4" i="13"/>
  <c r="D3" i="13"/>
  <c r="D2" i="13"/>
  <c r="D9" i="13"/>
  <c r="C9" i="13"/>
  <c r="D8" i="13"/>
  <c r="C8" i="13"/>
  <c r="D7" i="13"/>
  <c r="C7" i="13"/>
  <c r="D6" i="13"/>
  <c r="C6" i="13"/>
  <c r="D5" i="13"/>
  <c r="C2" i="13"/>
  <c r="H202" i="5"/>
  <c r="B11" i="13"/>
  <c r="B8" i="13"/>
  <c r="B7" i="13"/>
  <c r="B6" i="13"/>
  <c r="B5" i="13"/>
  <c r="B4" i="13"/>
  <c r="B3" i="13"/>
  <c r="B2" i="13"/>
  <c r="F8" i="17" l="1"/>
  <c r="G7" i="17"/>
  <c r="H4" i="17"/>
  <c r="H5" i="17"/>
  <c r="H6" i="17"/>
  <c r="H7" i="17"/>
  <c r="H8" i="17"/>
  <c r="H9" i="17"/>
  <c r="H10" i="17"/>
  <c r="H11" i="17"/>
  <c r="H3" i="17"/>
  <c r="H2" i="17"/>
  <c r="E4" i="20"/>
  <c r="B4" i="20"/>
  <c r="D3" i="17"/>
  <c r="D4" i="17"/>
  <c r="D5" i="17"/>
  <c r="D6" i="17"/>
  <c r="D7" i="17"/>
  <c r="D8" i="17"/>
  <c r="D9" i="17"/>
  <c r="D10" i="17"/>
  <c r="L10" i="17" s="1"/>
  <c r="D11" i="17"/>
  <c r="L11" i="17" s="1"/>
  <c r="D2" i="17"/>
  <c r="L21" i="10"/>
  <c r="L20" i="10"/>
  <c r="K8" i="17"/>
  <c r="G4" i="17"/>
  <c r="G5" i="17"/>
  <c r="G6" i="17"/>
  <c r="G8" i="17"/>
  <c r="G9" i="17"/>
  <c r="G10" i="17"/>
  <c r="G11" i="17"/>
  <c r="K11" i="17" s="1"/>
  <c r="G3" i="17"/>
  <c r="K3" i="17" s="1"/>
  <c r="F4" i="17"/>
  <c r="F5" i="17"/>
  <c r="F6" i="17"/>
  <c r="F7" i="17"/>
  <c r="F9" i="17"/>
  <c r="F10" i="17"/>
  <c r="F11" i="17"/>
  <c r="F3" i="17"/>
  <c r="Q5" i="19"/>
  <c r="Q6" i="19"/>
  <c r="Q4" i="19"/>
  <c r="P5" i="19"/>
  <c r="P6" i="19"/>
  <c r="P4" i="19"/>
  <c r="V3" i="19"/>
  <c r="W3" i="19" s="1"/>
  <c r="J12" i="19"/>
  <c r="I12" i="19"/>
  <c r="H12" i="19"/>
  <c r="C12" i="19"/>
  <c r="C8" i="19"/>
  <c r="I6" i="19"/>
  <c r="E11" i="17"/>
  <c r="B11" i="17"/>
  <c r="F2" i="11"/>
  <c r="G2" i="12"/>
  <c r="C10" i="9"/>
  <c r="I10" i="7"/>
  <c r="L23" i="10"/>
  <c r="L22" i="10"/>
  <c r="L19" i="10"/>
  <c r="L18" i="10"/>
  <c r="L17" i="10"/>
  <c r="L16" i="10"/>
  <c r="L15" i="10"/>
  <c r="L14" i="10"/>
  <c r="L13" i="10"/>
  <c r="L12" i="10"/>
  <c r="L11" i="10"/>
  <c r="L10" i="10"/>
  <c r="L9" i="10"/>
  <c r="L8" i="10"/>
  <c r="L7" i="10"/>
  <c r="L6" i="10"/>
  <c r="L5" i="10"/>
  <c r="L4" i="10"/>
  <c r="J3" i="10"/>
  <c r="I3" i="10"/>
  <c r="H3" i="10"/>
  <c r="G3" i="10"/>
  <c r="F3" i="10"/>
  <c r="D3" i="10"/>
  <c r="B3" i="10"/>
  <c r="G2" i="10"/>
  <c r="F2" i="10"/>
  <c r="B2" i="10"/>
  <c r="K7" i="17"/>
  <c r="K4" i="17"/>
  <c r="B3" i="17"/>
  <c r="L3" i="17" s="1"/>
  <c r="E3" i="17"/>
  <c r="B4" i="17"/>
  <c r="L4" i="17" s="1"/>
  <c r="E4" i="17"/>
  <c r="B5" i="17"/>
  <c r="E5" i="17"/>
  <c r="B6" i="17"/>
  <c r="L6" i="17" s="1"/>
  <c r="E6" i="17"/>
  <c r="B7" i="17"/>
  <c r="E7" i="17"/>
  <c r="L7" i="17" s="1"/>
  <c r="B8" i="17"/>
  <c r="E8" i="17"/>
  <c r="B9" i="17"/>
  <c r="E9" i="17"/>
  <c r="B10" i="17"/>
  <c r="E10" i="17"/>
  <c r="C3" i="11"/>
  <c r="K2" i="17"/>
  <c r="E2" i="17"/>
  <c r="B2" i="17"/>
  <c r="L8" i="17" l="1"/>
  <c r="L2" i="17"/>
  <c r="L5" i="17"/>
  <c r="L9" i="17"/>
  <c r="K10" i="17"/>
  <c r="K9" i="17"/>
  <c r="L3" i="10"/>
  <c r="L2" i="10"/>
  <c r="K5" i="17"/>
  <c r="K6" i="17"/>
  <c r="H9" i="7" l="1"/>
  <c r="G8" i="7"/>
  <c r="E6" i="7"/>
  <c r="F12" i="14"/>
  <c r="B12" i="14" s="1"/>
  <c r="F11" i="14"/>
  <c r="B11" i="14" s="1"/>
  <c r="F9" i="14"/>
  <c r="C9" i="14" s="1"/>
  <c r="F7" i="14"/>
  <c r="C4" i="14"/>
  <c r="C5" i="14"/>
  <c r="C6" i="14"/>
  <c r="C7" i="14"/>
  <c r="C8" i="14"/>
  <c r="C10" i="14"/>
  <c r="C11" i="14"/>
  <c r="B4" i="14"/>
  <c r="B5" i="14"/>
  <c r="B6" i="14"/>
  <c r="B7" i="14"/>
  <c r="C4" i="7" s="1"/>
  <c r="B8" i="14"/>
  <c r="B9" i="14"/>
  <c r="B10" i="14"/>
  <c r="F3" i="14"/>
  <c r="C3" i="14" s="1"/>
  <c r="F2" i="14"/>
  <c r="B2" i="14" s="1"/>
  <c r="B16" i="14" s="1"/>
  <c r="I2" i="11"/>
  <c r="H2" i="11"/>
  <c r="G2" i="11"/>
  <c r="E2" i="11"/>
  <c r="F2" i="12"/>
  <c r="D2" i="11" s="1"/>
  <c r="E2" i="12"/>
  <c r="C2" i="11" s="1"/>
  <c r="D2" i="12"/>
  <c r="C2" i="12"/>
  <c r="C4" i="6"/>
  <c r="E14" i="9"/>
  <c r="C14" i="9"/>
  <c r="E13" i="9"/>
  <c r="C13" i="9"/>
  <c r="E12" i="9"/>
  <c r="C12" i="9"/>
  <c r="E9" i="9"/>
  <c r="E8" i="9"/>
  <c r="C9" i="9"/>
  <c r="C8" i="9"/>
  <c r="E6" i="9"/>
  <c r="C6" i="9"/>
  <c r="G14" i="7"/>
  <c r="G12" i="7"/>
  <c r="E10" i="3"/>
  <c r="C10" i="3"/>
  <c r="E9" i="3"/>
  <c r="C9" i="3"/>
  <c r="E14" i="3"/>
  <c r="C14" i="3"/>
  <c r="E13" i="3"/>
  <c r="C13" i="3"/>
  <c r="E8" i="3"/>
  <c r="C8" i="3"/>
  <c r="E6" i="3"/>
  <c r="E5" i="3"/>
  <c r="C6" i="3"/>
  <c r="C5" i="3"/>
  <c r="I5" i="4"/>
  <c r="I4" i="4"/>
  <c r="I3" i="4"/>
  <c r="I2" i="4"/>
  <c r="I14" i="2"/>
  <c r="H5" i="4"/>
  <c r="G10" i="2"/>
  <c r="C12" i="14" l="1"/>
  <c r="B3" i="14"/>
  <c r="B17" i="14" s="1"/>
  <c r="C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tc={7E19B8BD-18FE-4BBF-BAD4-F72B10E9DF44}</author>
    <author>tc={AD863D7A-0150-4CFD-8767-D5EA7393DFF9}</author>
  </authors>
  <commentList>
    <comment ref="A3" authorId="0" shapeId="0" xr:uid="{7E19B8BD-18FE-4BBF-BAD4-F72B10E9DF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Strom für die PEM Elektrolyse, abhängig vom Wirkungsgrad der PEM Elektrolyse</t>
      </text>
    </comment>
    <comment ref="B3" authorId="1" shapeId="0" xr:uid="{AD863D7A-0150-4CFD-8767-D5EA7393DF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wird durch den Wirkungsgrad geteilt, damit am Ende kWh/kg H2 (Siehe Python)</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tc={51F2EABA-B2C6-43C7-83C3-708F49F13F0E}</author>
    <author>tc={19E4EDA1-46CA-4E34-9ED4-BD277943F1D5}</author>
    <author>tc={A64C496A-A315-4649-9AA6-11EB828426B2}</author>
    <author>tc={A5F6CC50-384A-4EEF-9C39-49666F1B4FB8}</author>
    <author>tc={7FC038A8-5D7A-48A6-837D-8B57E9B8FF84}</author>
    <author>tc={2786DF08-9D86-4949-82CD-B201D3DE4A0C}</author>
    <author>tc={266C5564-891C-40C3-9530-21A59F181A8F}</author>
    <author>tc={0503CBD9-C0E8-4650-B1D6-CB2E60398D97}</author>
    <author>tc={08094DBB-BF1E-4CB1-9D82-80F569DF2C44}</author>
    <author>tc={13193078-9582-4317-A74D-EE12E11351BA}</author>
  </authors>
  <commentList>
    <comment ref="H1" authorId="0" shapeId="0" xr:uid="{51F2EABA-B2C6-43C7-83C3-708F49F13F0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PV</t>
      </text>
    </comment>
    <comment ref="E2" authorId="1" shapeId="0" xr:uid="{19E4EDA1-46CA-4E34-9ED4-BD277943F1D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Ölkraftwerk mit 32% el. Wirkungsgrad</t>
      </text>
    </comment>
    <comment ref="A3" authorId="2" shapeId="0" xr:uid="{A64C496A-A315-4649-9AA6-11EB82842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Bergen (Norwegen) als Startpunkt)</t>
      </text>
    </comment>
    <comment ref="A4" authorId="3" shapeId="0" xr:uid="{A5F6CC50-384A-4EEF-9C39-49666F1B4FB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Felixtowe</t>
      </text>
    </comment>
    <comment ref="A5" authorId="4" shapeId="0" xr:uid="{7FC038A8-5D7A-48A6-837D-8B57E9B8FF8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Madrid</t>
      </text>
    </comment>
    <comment ref="A6" authorId="5" shapeId="0" xr:uid="{2786DF08-9D86-4949-82CD-B201D3DE4A0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Algier</t>
      </text>
    </comment>
    <comment ref="A7" authorId="6" shapeId="0" xr:uid="{266C5564-891C-40C3-9530-21A59F181A8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Accra (Ghana)</t>
      </text>
    </comment>
    <comment ref="A8" authorId="7" shapeId="0" xr:uid="{0503CBD9-C0E8-4650-B1D6-CB2E60398D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Katar</t>
      </text>
    </comment>
    <comment ref="A9" authorId="8" shapeId="0" xr:uid="{08094DBB-BF1E-4CB1-9D82-80F569DF2C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Thailand</t>
      </text>
    </comment>
    <comment ref="A10" authorId="9" shapeId="0" xr:uid="{13193078-9582-4317-A74D-EE12E11351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Perth</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tc={06FAA509-B63C-487E-93C7-431112BF6962}</author>
    <author>tc={A4CEC460-72F8-4682-B551-AF6C1B290F7B}</author>
    <author>tc={112EB329-BBB3-475E-A498-0CD6DA5503FE}</author>
    <author>tc={0FEA4124-EB1C-4F9E-A7C7-6C3DB2217F59}</author>
    <author>tc={955CE570-E455-43D0-A7BC-C447089295E4}</author>
    <author>tc={9FC1948B-A30F-4ECD-9A74-8D330FB9782A}</author>
    <author>tc={BE131E58-40BE-4811-AB19-9840109FF294}</author>
    <author>tc={7D939B14-2D18-4E58-BC03-4F6343B6BB7D}</author>
    <author>tc={3887A37E-3D1D-4102-BD02-00D921ADD676}</author>
    <author>tc={A80A4BF9-D9FA-4F2C-8C77-4D0934210E38}</author>
  </authors>
  <commentList>
    <comment ref="H1" authorId="0" shapeId="0" xr:uid="{06FAA509-B63C-487E-93C7-431112BF696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PV</t>
      </text>
    </comment>
    <comment ref="U1" authorId="1" shapeId="0" xr:uid="{A4CEC460-72F8-4682-B551-AF6C1B290F7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PV</t>
      </text>
    </comment>
    <comment ref="A4" authorId="2" shapeId="0" xr:uid="{112EB329-BBB3-475E-A498-0CD6DA5503F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Bergen (Norwegen) als Startpunkt)</t>
      </text>
    </comment>
    <comment ref="A5" authorId="3" shapeId="0" xr:uid="{0FEA4124-EB1C-4F9E-A7C7-6C3DB2217F5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Felixtowe</t>
      </text>
    </comment>
    <comment ref="A6" authorId="4" shapeId="0" xr:uid="{955CE570-E455-43D0-A7BC-C447089295E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Madrid</t>
      </text>
    </comment>
    <comment ref="A7" authorId="5" shapeId="0" xr:uid="{9FC1948B-A30F-4ECD-9A74-8D330FB9782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Algier</t>
      </text>
    </comment>
    <comment ref="A8" authorId="6" shapeId="0" xr:uid="{BE131E58-40BE-4811-AB19-9840109FF29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Accra (Ghana)</t>
      </text>
    </comment>
    <comment ref="A9" authorId="7" shapeId="0" xr:uid="{7D939B14-2D18-4E58-BC03-4F6343B6BB7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Katar</t>
      </text>
    </comment>
    <comment ref="A10" authorId="8" shapeId="0" xr:uid="{3887A37E-3D1D-4102-BD02-00D921ADD67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Thailand</t>
      </text>
    </comment>
    <comment ref="A11" authorId="9" shapeId="0" xr:uid="{A80A4BF9-D9FA-4F2C-8C77-4D0934210E3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Perth</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tc={D628CAA7-92F4-4864-8E17-75E11EE73EE0}</author>
    <author>tc={000418BB-2904-4886-A5D9-68B8DECD432F}</author>
    <author>tc={7BB92228-53CC-4FB4-921E-BD0668A98CF5}</author>
    <author>tc={628A3AAF-1211-4353-A7BD-6568186F0EB3}</author>
    <author>tc={F0D7C6F0-C152-4789-95C7-6F1C8925EDBD}</author>
    <author>tc={2CE8DBF6-5B98-4B4E-965B-4A4C1FE28408}</author>
    <author>tc={E55352CC-5A50-4AD7-936C-919404ACFA4C}</author>
    <author>tc={8FB955B2-C4C3-41DA-9F8D-CB9EF4083B00}</author>
    <author>tc={D482D560-F246-4A25-919B-E563F8BBA545}</author>
    <author>tc={CF53772B-72F1-4710-A12E-7B1F8632371C}</author>
    <author>tc={BEACFF09-74AE-4685-87CA-1A34160677B8}</author>
    <author>tc={4453A723-69FC-4FC5-90C2-9E6A30C82AF3}</author>
    <author>tc={C7683942-EA9E-494B-BD1C-3D12EBEE5912}</author>
    <author>tc={E295FA40-375D-4582-A0EC-EEFAC9D7F34B}</author>
    <author>tc={273785ED-1238-4A49-8A62-130E5AFEF94D}</author>
    <author>tc={B7DFDD64-DD18-4ADF-8EFF-F7087DE33057}</author>
    <author>tc={35DA22ED-A86C-4D12-9EE3-65DFE215D452}</author>
  </authors>
  <commentList>
    <comment ref="D1" authorId="0" shapeId="0" xr:uid="{D628CAA7-92F4-4864-8E17-75E11EE73E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relevant</t>
      </text>
    </comment>
    <comment ref="C3" authorId="1" shapeId="0" xr:uid="{000418BB-2904-4886-A5D9-68B8DECD432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3" authorId="2" shapeId="0" xr:uid="{7BB92228-53CC-4FB4-921E-BD0668A98CF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4" authorId="3" shapeId="0" xr:uid="{628A3AAF-1211-4353-A7BD-6568186F0EB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4" authorId="4" shapeId="0" xr:uid="{F0D7C6F0-C152-4789-95C7-6F1C8925ED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5" authorId="5" shapeId="0" xr:uid="{2CE8DBF6-5B98-4B4E-965B-4A4C1FE2840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5" authorId="6" shapeId="0" xr:uid="{E55352CC-5A50-4AD7-936C-919404ACFA4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6" authorId="7" shapeId="0" xr:uid="{8FB955B2-C4C3-41DA-9F8D-CB9EF4083B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6" authorId="8" shapeId="0" xr:uid="{D482D560-F246-4A25-919B-E563F8BBA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7" authorId="9" shapeId="0" xr:uid="{CF53772B-72F1-4710-A12E-7B1F863237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7" authorId="10" shapeId="0" xr:uid="{BEACFF09-74AE-4685-87CA-1A34160677B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8" authorId="11" shapeId="0" xr:uid="{4453A723-69FC-4FC5-90C2-9E6A30C82AF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Global natural gas. Ist der gleiche Prozess wie norwegen und somit vergleichbar</t>
      </text>
    </comment>
    <comment ref="D8" authorId="12" shapeId="0" xr:uid="{C7683942-EA9E-494B-BD1C-3D12EBEE591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9" authorId="13" shapeId="0" xr:uid="{E295FA40-375D-4582-A0EC-EEFAC9D7F34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9" authorId="14" shapeId="0" xr:uid="{273785ED-1238-4A49-8A62-130E5AFEF94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 ref="C10" authorId="15" shapeId="0" xr:uid="{B7DFDD64-DD18-4ADF-8EFF-F7087DE3305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OpenLCA für RoW, kann auch genauer gemacht werden</t>
      </text>
    </comment>
    <comment ref="D10" authorId="16" shapeId="0" xr:uid="{35DA22ED-A86C-4D12-9EE3-65DFE215D45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Kohle RoW aus OpenLCA, könnte man auch genauer für jede Region machen</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tc={E56A202F-4F8B-4857-9542-A7B646A1AE03}</author>
    <author>tc={4CC28BB2-CD21-4D4D-BE71-6B74192029CB}</author>
  </authors>
  <commentList>
    <comment ref="F2" authorId="0" shapeId="0" xr:uid="{E56A202F-4F8B-4857-9542-A7B646A1AE0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Hängt von Wirkungsgrad, elektrischer Leistung und Heizwert ab</t>
      </text>
    </comment>
    <comment ref="F3" authorId="1" shapeId="0" xr:uid="{4CC28BB2-CD21-4D4D-BE71-6B74192029C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Hängt von Wirkungsgrad, elektrischer Leistung und Heizwert ab</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tc={A448122F-118B-4456-860C-137D6E924EC7}</author>
  </authors>
  <commentList>
    <comment ref="B5" authorId="0" shapeId="0" xr:uid="{A448122F-118B-4456-860C-137D6E924EC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Kyoto Protokoll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tc={6FE34E5F-C9FA-4CA0-9779-98945FBC011C}</author>
    <author>tc={F9C17333-3FE2-4E89-8271-491726892CFA}</author>
    <author>tc={87515DC9-0D50-49A8-83D6-4F2ED00FC6E1}</author>
    <author>tc={EA9B0347-384E-4DF7-92D7-AABAE421FEBB}</author>
    <author>tc={EA5B9124-5AA9-4BDB-BF07-93FED4488953}</author>
  </authors>
  <commentList>
    <comment ref="C2" authorId="0" shapeId="0" xr:uid="{6FE34E5F-C9FA-4CA0-9779-98945FBC01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1*Emissionsfaktor Wasser Standort</t>
      </text>
    </comment>
    <comment ref="C3" authorId="1" shapeId="0" xr:uid="{F9C17333-3FE2-4E89-8271-491726892C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1*Emissionsfaktor Strom Standort</t>
      </text>
    </comment>
    <comment ref="C4" authorId="2" shapeId="0" xr:uid="{87515DC9-0D50-49A8-83D6-4F2ED00FC6E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1*Emissionsfaktor Strom Standort</t>
      </text>
    </comment>
    <comment ref="C7" authorId="3" shapeId="0" xr:uid="{EA9B0347-384E-4DF7-92D7-AABAE421FEB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 Methanbeschaffung Standort</t>
      </text>
    </comment>
    <comment ref="C12" authorId="4" shapeId="0" xr:uid="{EA5B9124-5AA9-4BDB-BF07-93FED448895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1*Emission Kohlebeschaffung Standort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tc={299A2D54-B708-49E3-B9FF-9D56FC2CA282}</author>
    <author>tc={FDE6E345-A8A6-4206-B28C-CBE50C7B949C}</author>
    <author>tc={FC50E2A5-E4DD-4070-ACFA-F69D207ED468}</author>
    <author>tc={B99F6B7B-463C-49A7-8129-3A1E3B9E02AC}</author>
    <author>tc={0AC25B98-D0D7-4E91-86AF-F91CEA484BB0}</author>
    <author>tc={2FA1423F-27FE-4B3A-B00C-4472C18B35F2}</author>
    <author>tc={52B00EC5-B4B6-4585-9BBF-64566E46C4F9}</author>
    <author>tc={47CB8089-0BA5-41C0-8161-C2FF33BBC2AC}</author>
    <author>tc={F8183489-E403-4F46-BFF2-98FAA66CA2F1}</author>
  </authors>
  <commentList>
    <comment ref="E2" authorId="0" shapeId="0" xr:uid="{299A2D54-B708-49E3-B9FF-9D56FC2CA28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Am comparative study on… mit 8,33 kWh/kg
Antwort:
    10-11.95 kWh/kg laut assessment of.. S.12 (Mit Primärquelle (55)</t>
      </text>
    </comment>
    <comment ref="I2" authorId="1" shapeId="0" xr:uid="{FDE6E345-A8A6-4206-B28C-CBE50C7B94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Zwischen 1.66 und 3,75 kWh (Assessment of Hydrogen Delivery Options, S. 19)</t>
      </text>
    </comment>
    <comment ref="J2" authorId="2" shapeId="0" xr:uid="{FC50E2A5-E4DD-4070-ACFA-F69D207ED46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Ggf. über minimalen Energieaufwand</t>
      </text>
    </comment>
    <comment ref="I10" authorId="3" shapeId="0" xr:uid="{B99F6B7B-463C-49A7-8129-3A1E3B9E02A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Ecoinvent für Ammoniak Production (Eigentlich über SMR…)</t>
      </text>
    </comment>
    <comment ref="K10" authorId="4" shapeId="0" xr:uid="{0AC25B98-D0D7-4E91-86AF-F91CEA484BB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fehlt Fabrik</t>
      </text>
    </comment>
    <comment ref="I11" authorId="5" shapeId="0" xr:uid="{2FA1423F-27FE-4B3A-B00C-4472C18B35F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Stöchiometrie</t>
      </text>
    </comment>
    <comment ref="I12" authorId="6" shapeId="0" xr:uid="{52B00EC5-B4B6-4585-9BBF-64566E46C4F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Vernachlässigung, da weitere nur geringfügig</t>
      </text>
    </comment>
    <comment ref="K15" authorId="7" shapeId="0" xr:uid="{47CB8089-0BA5-41C0-8161-C2FF33BBC2A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https://www.ammoniaenergy.org/articles/round-trip-efficiency-of-ammonia-as-a-renewable-energy-transportation-media/#:~:text=In%20this%20study%2C%20%E2%80%9Cthe%20net,best%20and%20worst%20case%20scenarios.</t>
      </text>
    </comment>
    <comment ref="K17" authorId="8" shapeId="0" xr:uid="{F8183489-E403-4F46-BFF2-98FAA66CA2F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https://www.ammoniaenergy.org/articles/round-trip-efficiency-of-ammonia-as-a-renewable-energy-transportation-media/#:~:text=In%20this%20study%2C%20%E2%80%9Cthe%20net,best%20and%20worst%20case%20scenarios.
Antwort:
    5.2 kWh/kg Heizwert Ammoniak. 0,3 kWh/kg Ammoniak zum Ammoniak Cracken
Antwort:
    Einheiten in Python überprüfen
Antwort:
    15-33% laut Fraunhofer ISI (S.16)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tc={415A3158-A816-46C6-9899-A2805559D441}</author>
    <author>tc={0232CA5D-0835-411C-BC97-4E18E2BEBDE0}</author>
    <author>tc={66BF4471-77EC-4789-AA6B-9E5BF83A9CC1}</author>
    <author>tc={84D021E8-EE86-4FFF-A2FF-85A6445DADD5}</author>
  </authors>
  <commentList>
    <comment ref="C2" authorId="0" shapeId="0" xr:uid="{415A3158-A816-46C6-9899-A2805559D44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Multiplikation mit Strommix Produktionsland</t>
      </text>
    </comment>
    <comment ref="C3" authorId="1" shapeId="0" xr:uid="{0232CA5D-0835-411C-BC97-4E18E2BEBDE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Multiplikation mit Strommix Deutschland</t>
      </text>
    </comment>
    <comment ref="C10" authorId="2" shapeId="0" xr:uid="{66BF4471-77EC-4789-AA6B-9E5BF83A9CC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Vergleichsweise viel</t>
      </text>
    </comment>
    <comment ref="C11" authorId="3" shapeId="0" xr:uid="{84D021E8-EE86-4FFF-A2FF-85A6445DADD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Life cycle energy use and greenhouse gas emissions of ammonia production from renewable resources and industrial by-products  S.9  mit Stöchiometrie verrechnet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tc={CBE296C6-14DB-4891-9453-B29192948CB1}</author>
    <author>tc={EF18DED3-774C-4CFB-AC54-212F8BFFAFC5}</author>
  </authors>
  <commentList>
    <comment ref="D3" authorId="0" shapeId="0" xr:uid="{CBE296C6-14DB-4891-9453-B29192948CB1}">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Bis zu 2,366% am Tag
Antwort:
    A comparative study on energy efficiency of the maritime supply chains for liquefied hydrogen, ammonia, methanol and natural gas (Seite 1)
</t>
      </text>
    </comment>
    <comment ref="F3" authorId="1" shapeId="0" xr:uid="{EF18DED3-774C-4CFB-AC54-212F8BFFAFC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Weniger als 0,04% pro Tag
Antwort:
    Assessment of Hydrogen Delivery Options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tc={40389D48-A00E-4279-B254-79150C23BAA4}</author>
  </authors>
  <commentList>
    <comment ref="G201" authorId="0" shapeId="0" xr:uid="{40389D48-A00E-4279-B254-79150C23BAA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Es wird über dänisches Erdgas auf Norwegen geschlossen über die Emissionen von norwegischem Gas durch den Anteil von norwegischem Gas im Import
Antwort:
    Ergebnis ist noch in Nm3 und muss über Dichte umgerechnet werden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tc={8F2EE396-ABBE-49B4-B895-7A1D5E96AEB3}</author>
  </authors>
  <commentList>
    <comment ref="C8" authorId="0" shapeId="0" xr:uid="{8F2EE396-ABBE-49B4-B895-7A1D5E96AEB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Werte aus A comparative study on energy efficiency of the maritime sector...
Antwort:
    Seite 3</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tc={40908927-0A3D-4F54-8B95-6211F52A3722}</author>
    <author>tc={A2580BAF-87D9-4171-A008-C14E59D9B6B5}</author>
    <author>tc={7438980F-1CC9-41F7-B6D7-D2F1DCD82FA5}</author>
    <author>tc={8EB45880-8B3A-46A9-9B2B-A299FF74353A}</author>
    <author>tc={501CF994-6B30-4551-9665-C95436376FBA}</author>
    <author>tc={757A07E6-4353-4596-B2D3-FAEACFD38511}</author>
    <author>tc={F5E84FBD-60E3-4D19-BA03-2D8F146FE29E}</author>
    <author>tc={1DCD4EF1-15F0-4418-9ED6-513D82A1C92B}</author>
  </authors>
  <commentList>
    <comment ref="A3" authorId="0" shapeId="0" xr:uid="{40908927-0A3D-4F54-8B95-6211F52A372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Bergen (Norwegen) als Startpunkt)</t>
      </text>
    </comment>
    <comment ref="A4" authorId="1" shapeId="0" xr:uid="{A2580BAF-87D9-4171-A008-C14E59D9B6B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Felixtowe</t>
      </text>
    </comment>
    <comment ref="A5" authorId="2" shapeId="0" xr:uid="{7438980F-1CC9-41F7-B6D7-D2F1DCD82FA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Madrid</t>
      </text>
    </comment>
    <comment ref="A6" authorId="3" shapeId="0" xr:uid="{8EB45880-8B3A-46A9-9B2B-A299FF7435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Algier</t>
      </text>
    </comment>
    <comment ref="A7" authorId="4" shapeId="0" xr:uid="{501CF994-6B30-4551-9665-C95436376FB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Accra (Ghana)</t>
      </text>
    </comment>
    <comment ref="A8" authorId="5" shapeId="0" xr:uid="{757A07E6-4353-4596-B2D3-FAEACFD385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Von Katar</t>
      </text>
    </comment>
    <comment ref="A9" authorId="6" shapeId="0" xr:uid="{F5E84FBD-60E3-4D19-BA03-2D8F146FE29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Thailand</t>
      </text>
    </comment>
    <comment ref="A10" authorId="7" shapeId="0" xr:uid="{1DCD4EF1-15F0-4418-9ED6-513D82A1C9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Perth</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tc={F8B2ECE5-EE18-4D73-94F9-D3D568A4553E}</author>
    <author>tc={11E67DBE-945C-4D42-86BC-20F2A5C20A26}</author>
    <author>tc={767B9E27-3204-492C-8978-D776CCEA648E}</author>
    <author>tc={A503BF87-7816-4714-A471-7B8973C45AAF}</author>
    <author>tc={A5F1872E-1D0C-4B3C-89C6-9D8E5F8B3843}</author>
    <author>tc={BD062106-9717-4CBB-A297-E31860C84588}</author>
    <author>tc={C25FD070-C19C-4001-87E0-B4E792554F17}</author>
    <author>tc={042F0933-E632-4CDF-9980-DE7E041C1693}</author>
    <author>tc={F87BA2C2-A8C2-456C-B09F-1F33343736E9}</author>
    <author>tc={E3924D5D-C73F-4CBE-AF36-16F9D4685DBD}</author>
    <author>tc={89E918B7-0DEC-4923-9E2D-3E4E299B2215}</author>
    <author>tc={D06CD7F0-9042-40F1-B8FF-BE6198CEA698}</author>
    <author>tc={59136E96-F67C-442B-8B4A-F61B31DA9697}</author>
    <author>tc={C30C16E4-01C7-493F-AF51-337F80972396}</author>
    <author>tc={20958302-99A1-43A7-A8E8-B9EEF2A93FF4}</author>
    <author>tc={ED763AA1-0714-440F-B95B-35D72FC300E3}</author>
    <author>tc={588FFAFE-1F03-4B3A-8D05-BA11D60F972E}</author>
  </authors>
  <commentList>
    <comment ref="A2" authorId="0" shapeId="0" xr:uid="{F8B2ECE5-EE18-4D73-94F9-D3D568A4553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https://de.statista.com/statistik/daten/studie/197025/umfrage/bruttostromerzeugung-in-deutschland-nach-energietraegern/</t>
      </text>
    </comment>
    <comment ref="A3" authorId="1" shapeId="0" xr:uid="{11E67DBE-945C-4D42-86BC-20F2A5C20A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 dena Leitstudie</t>
      </text>
    </comment>
    <comment ref="A4" authorId="2" shapeId="0" xr:uid="{767B9E27-3204-492C-8978-D776CCEA648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Strommix Norwegen https://de.statista.com/statistik/daten/studie/1292636/umfrage/struktur-der-stromerzeugung-in-norwegen/</t>
      </text>
    </comment>
    <comment ref="A6" authorId="3" shapeId="0" xr:uid="{A503BF87-7816-4714-A471-7B8973C45A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https://de.statista.com/statistik/daten/studie/218659/umfrage/stromerzeugung-in-grossbritannien-nach-energietraeger/</t>
      </text>
    </comment>
    <comment ref="A7" authorId="4" shapeId="0" xr:uid="{A5F1872E-1D0C-4B3C-89C6-9D8E5F8B384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https://www.nsenergybusiness.com/news/uk-renewable-energy-capacity-2030/</t>
      </text>
    </comment>
    <comment ref="A8" authorId="5" shapeId="0" xr:uid="{BD062106-9717-4CBB-A297-E31860C8458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https://de.statista.com/statistik/daten/studie/182175/umfrage/struktur-der-bruttostromerzeugung-in-spanien/</t>
      </text>
    </comment>
    <comment ref="A9" authorId="6" shapeId="0" xr:uid="{C25FD070-C19C-4001-87E0-B4E792554F1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https://www.researchgate.net/publication/340614088_Life_Cycle_Sustainability_Assessment_of_the_Spanish_Electricity_Past_Present_and_Future_Projections/link/5e95248ea6fdcca7891549d2/download</t>
      </text>
    </comment>
    <comment ref="A10" authorId="7" shapeId="0" xr:uid="{042F0933-E632-4CDF-9980-DE7E041C16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https://de.wikipedia.org/wiki/Algerien#Energiewirtschaft
Antwort:
    Algerien</t>
      </text>
    </comment>
    <comment ref="A11" authorId="8" shapeId="0" xr:uid="{F87BA2C2-A8C2-456C-B09F-1F33343736E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https://www.mei.edu/publications/algeria-charts-path-renewable-energy-sector-development</t>
      </text>
    </comment>
    <comment ref="A12" authorId="9" shapeId="0" xr:uid="{E3924D5D-C73F-4CBE-AF36-16F9D4685DB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https://www.iea.org/articles/ghana-energy-outlook</t>
      </text>
    </comment>
    <comment ref="A13" authorId="10" shapeId="0" xr:uid="{89E918B7-0DEC-4923-9E2D-3E4E299B221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https://www.iea.org/articles/ghana-energy-outlook</t>
      </text>
    </comment>
    <comment ref="A14" authorId="11" shapeId="0" xr:uid="{D06CD7F0-9042-40F1-B8FF-BE6198CEA698}">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https://www.iwr.de/news/energiekonzern-total-entwickelt-800-mw-solarkraftwerk-in-katar-news36516</t>
      </text>
    </comment>
    <comment ref="A15" authorId="12" shapeId="0" xr:uid="{59136E96-F67C-442B-8B4A-F61B31DA969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https://www.iwr.de/news/energiekonzern-total-entwickelt-800-mw-solarkraftwerk-in-katar-news36516</t>
      </text>
    </comment>
    <comment ref="A16" authorId="13" shapeId="0" xr:uid="{C30C16E4-01C7-493F-AF51-337F8097239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https://www.next-kraftwerke.de/energie-blog/energiewirtschaft-thailand</t>
      </text>
    </comment>
    <comment ref="A17" authorId="14" shapeId="0" xr:uid="{20958302-99A1-43A7-A8E8-B9EEF2A93FF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https://www.next-kraftwerke.de/energie-blog/energiewirtschaft-thailand</t>
      </text>
    </comment>
    <comment ref="A18" authorId="15" shapeId="0" xr:uid="{ED763AA1-0714-440F-B95B-35D72FC300E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https://www.laenderdaten.info/Australien/Australien/energiehaushalt.php</t>
      </text>
    </comment>
    <comment ref="A19" authorId="16" shapeId="0" xr:uid="{588FFAFE-1F03-4B3A-8D05-BA11D60F972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https://www.pinsentmasons.com/out-law/analysis/powering-australia-australias-energy-mix-in-a-decarbonising-world</t>
      </text>
    </comment>
  </commentList>
</comments>
</file>

<file path=xl/sharedStrings.xml><?xml version="1.0" encoding="utf-8"?>
<sst xmlns="http://schemas.openxmlformats.org/spreadsheetml/2006/main" count="1279" uniqueCount="404">
  <si>
    <t>Prozess</t>
  </si>
  <si>
    <t>H2 Produktion</t>
  </si>
  <si>
    <t>Umwandlungen</t>
  </si>
  <si>
    <t>Transport</t>
  </si>
  <si>
    <t>GWP1 [t CO2 eq]</t>
  </si>
  <si>
    <t>Kosten1 [EUR]</t>
  </si>
  <si>
    <t>GWP2 [t CO2 eq]</t>
  </si>
  <si>
    <t>Kosten2 [EUR]</t>
  </si>
  <si>
    <t>Fuel</t>
  </si>
  <si>
    <t>Einheit</t>
  </si>
  <si>
    <t>PEM Stack</t>
  </si>
  <si>
    <t>PEM Plant</t>
  </si>
  <si>
    <t>Daten gesichert</t>
  </si>
  <si>
    <t>Daten nicht vorhanden</t>
  </si>
  <si>
    <t>GWP [CO2 Äq.] Einheit</t>
  </si>
  <si>
    <t>Kosten [EUR] Einheit</t>
  </si>
  <si>
    <t>Kosten [EUR] Wert</t>
  </si>
  <si>
    <t>CO2 Äq./kg</t>
  </si>
  <si>
    <t>CO2 Äq./kWh</t>
  </si>
  <si>
    <t>kg/kg H2</t>
  </si>
  <si>
    <t>kWh*Wirkungsgrad/kg H2</t>
  </si>
  <si>
    <t>item*H2 prod. Lifetime/kg H2</t>
  </si>
  <si>
    <t>CO2 Äq./item</t>
  </si>
  <si>
    <t>EUR/kg</t>
  </si>
  <si>
    <t>EUR/kWh</t>
  </si>
  <si>
    <t>EUR/item</t>
  </si>
  <si>
    <t>Daten zu überprüfen/vervollständigen</t>
  </si>
  <si>
    <t>kWh/kg H2</t>
  </si>
  <si>
    <t>SMR Plant</t>
  </si>
  <si>
    <t>Aminoxid</t>
  </si>
  <si>
    <t>Monoethanolamin</t>
  </si>
  <si>
    <t>g/kg H2</t>
  </si>
  <si>
    <t>CCS plant</t>
  </si>
  <si>
    <t>CO2 captured</t>
  </si>
  <si>
    <t>CGR Plant</t>
  </si>
  <si>
    <t>Ethylene glycol dimethyl ether</t>
  </si>
  <si>
    <t>CO2 Äq./g</t>
  </si>
  <si>
    <t>EUR/g</t>
  </si>
  <si>
    <t>Daten aus OpenLCA</t>
  </si>
  <si>
    <t>Beitrag</t>
  </si>
  <si>
    <t>Menge</t>
  </si>
  <si>
    <t>12_210321_plant_PEM_electrolysis_Bareiß19 - GLO</t>
  </si>
  <si>
    <t>kg CO2 eq</t>
  </si>
  <si>
    <t>electronics production, for control units | electronics, for control units | Cutoff, U - RER</t>
  </si>
  <si>
    <t>steel production, electric, low-alloyed | steel, low-alloyed | Cutoff, U - IN</t>
  </si>
  <si>
    <t>steel production, electric, chromium steel 18/8 | steel, chromium steel 18/8 | Cutoff, U - RER</t>
  </si>
  <si>
    <t>market for concrete block | concrete block | Cutoff, U - DE</t>
  </si>
  <si>
    <t>market for aluminium, cast alloy | aluminium, cast alloy | Cutoff, U - GLO</t>
  </si>
  <si>
    <t>polyethylene terephthalate, granulate, amorphous, recycled to generic market for amorphous PET granulate | polyethylene terephthalate, granulate, amorphous | Cutoff, U - RoW</t>
  </si>
  <si>
    <t>cobalt production | copper cake | Cutoff, U - GLO</t>
  </si>
  <si>
    <t>GWP</t>
  </si>
  <si>
    <t>USD</t>
  </si>
  <si>
    <t>Kosten</t>
  </si>
  <si>
    <t>12_210321_PEMWE_1MW_Stack_2017_Bareiß19 - GLO</t>
  </si>
  <si>
    <t>titanium production, primary | titanium, primary | Cutoff, U - GLO</t>
  </si>
  <si>
    <t>platinum group metal, extraction and refinery operations | platinum | Cutoff, U - ZA</t>
  </si>
  <si>
    <t>market for tetrafluoroethylene | tetrafluoroethylene | Cutoff, U - GLO</t>
  </si>
  <si>
    <t>treatment of spent activated carbon, granular from hard coal, reactivation | activated carbon, granular | Cutoff, U - RER</t>
  </si>
  <si>
    <t>primary lead production from concentrate | sulfuric acid | Cutoff, U - GLO</t>
  </si>
  <si>
    <t>market for natural gas, high pressure | natural gas, high pressure | Cutoff, U - DE</t>
  </si>
  <si>
    <t>natural gas, high pressure, import from RU | natural gas, high pressure | Cutoff, U - DE</t>
  </si>
  <si>
    <t>natural gas, high pressure, import from NO | natural gas, high pressure | Cutoff, U - DE</t>
  </si>
  <si>
    <t>transport, pipeline, long distance, natural gas | transport, pipeline, long distance, natural gas | Cutoff, U - DE</t>
  </si>
  <si>
    <t>natural gas production | natural gas, high pressure | Cutoff, U - DE</t>
  </si>
  <si>
    <t>natural gas, high pressure, import from NL | natural gas, high pressure | Cutoff, U - DE</t>
  </si>
  <si>
    <t>pipeline construction, natural gas, high pressure distribution network | pipeline, natural gas, high pressure distribution network | Cutoff, U - Europe without Switzerland</t>
  </si>
  <si>
    <t>market for heat, district or industrial, natural gas | heat, district or industrial, natural gas | Cutoff, U - Europe without Switzerland</t>
  </si>
  <si>
    <t>market for electricity, medium voltage | electricity, medium voltage | Cutoff, U - DE</t>
  </si>
  <si>
    <t>Market for natural gas DE/m3</t>
  </si>
  <si>
    <t>market for natural gas, low pressure | natural gas, low pressure | Cutoff, U - RoW</t>
  </si>
  <si>
    <t>natural gas pressure reduction from high to low pressure | natural gas, low pressure | Cutoff, U - RoW</t>
  </si>
  <si>
    <t>market for pipeline, natural gas, low pressure distribution network | pipeline, natural gas, low pressure distribution network | Cutoff, U - GLO</t>
  </si>
  <si>
    <t>market for heat, central or small-scale, natural gas | heat, central or small-scale, natural gas | Cutoff, U - RoW</t>
  </si>
  <si>
    <t>market for heat, central or small-scale, natural gas | heat, central or small-scale, natural gas | Cutoff, U - Europe without Switzerland</t>
  </si>
  <si>
    <t>Market for natural gas RoW/m3</t>
  </si>
  <si>
    <t>Parameter</t>
  </si>
  <si>
    <t>Wert</t>
  </si>
  <si>
    <t>Dollar/Euro Kurs</t>
  </si>
  <si>
    <t>USD/EUR</t>
  </si>
  <si>
    <t>kg/m3</t>
  </si>
  <si>
    <t>14_210322_plant_SMR_Boyano11 - GLO</t>
  </si>
  <si>
    <t>market for steel, unalloyed | steel, unalloyed | Cutoff, U - GLO</t>
  </si>
  <si>
    <t>cast iron production | cast iron | Cutoff, U - RER</t>
  </si>
  <si>
    <t>cobalt production | nickel, class 1 | Cutoff, U - GLO</t>
  </si>
  <si>
    <t>aluminium oxide, metallurgical, import from South America | aluminium oxide, metallurgical | Cutoff, U - IAI Area, EU27 &amp; EFTA</t>
  </si>
  <si>
    <t>heavy mineral sand quarry operation and titania slag production | pig iron | Cutoff, U - RoW</t>
  </si>
  <si>
    <t>SMR plant</t>
  </si>
  <si>
    <t>PEM Plant 1MW</t>
  </si>
  <si>
    <t>PEM Stack 1MW</t>
  </si>
  <si>
    <t xml:space="preserve"> </t>
  </si>
  <si>
    <t>14_210322_plant_SMR_Boyano_coal gasification - GLO</t>
  </si>
  <si>
    <t>market for steel, chromium steel 18/8 | steel, chromium steel 18/8 | Cutoff, U - GLO</t>
  </si>
  <si>
    <t>market for steel, low-alloyed | steel, low-alloyed | Cutoff, U - GLO</t>
  </si>
  <si>
    <t>market for nickel, class 1 | nickel, class 1 | Cutoff, U - GLO</t>
  </si>
  <si>
    <t>market for aluminium oxide, metallurgical | aluminium oxide, metallurgical | Cutoff, S - IAI Area, EU27 &amp; EFTA</t>
  </si>
  <si>
    <t>market for pig iron | pig iron | Cutoff, S - RER</t>
  </si>
  <si>
    <t>CG plant</t>
  </si>
  <si>
    <t>CG plant Kosten</t>
  </si>
  <si>
    <t>market for ethylene glycol dimethyl ether | ethylene glycol dimethyl ether | Cutoff, U - GLO</t>
  </si>
  <si>
    <t>ethylene glycol dimethyl ether production | ethylene glycol dimethyl ether | Cutoff, U - RoW</t>
  </si>
  <si>
    <t>ethylene glycol dimethyl ether production | ethylene glycol dimethyl ether | Cutoff, U - RER</t>
  </si>
  <si>
    <t>market group for transport, freight, lorry, unspecified | transport, freight, lorry, unspecified | Cutoff, U - GLO</t>
  </si>
  <si>
    <t>market group for transport, freight train | transport, freight train | Cutoff, U - GLO</t>
  </si>
  <si>
    <t>market for transport, freight, sea, container ship | transport, freight, sea, container ship | Cutoff, U - GLO</t>
  </si>
  <si>
    <t>market group for transport, freight, inland waterways, barge | transport, freight, inland waterways, barge | Cutoff, U - GLO</t>
  </si>
  <si>
    <t>Ethylene glycol dimethyl ether [kg]</t>
  </si>
  <si>
    <t>market for amine oxide | amine oxide | Cutoff, U - GLO</t>
  </si>
  <si>
    <t>amine oxide production | amine oxide | Cutoff, U - RoW</t>
  </si>
  <si>
    <t>amine oxide production | amine oxide | Cutoff, U - RER</t>
  </si>
  <si>
    <t>market group for transport, freight, light commercial vehicle | transport, freight, light commercial vehicle | Cutoff, U - GLO</t>
  </si>
  <si>
    <t>Amine oxide</t>
  </si>
  <si>
    <t>Amine oxide [kg]</t>
  </si>
  <si>
    <t>Region</t>
  </si>
  <si>
    <t>Skandinavien</t>
  </si>
  <si>
    <t>Nordafrika</t>
  </si>
  <si>
    <t>Westafrika</t>
  </si>
  <si>
    <t>Naher Osten</t>
  </si>
  <si>
    <t>Südostasien</t>
  </si>
  <si>
    <t>market for monoethanolamine | monoethanolamine | Cutoff, U - GLO</t>
  </si>
  <si>
    <t>ethanolamine production | monoethanolamine | Cutoff, U - RoW</t>
  </si>
  <si>
    <t>ethanolamine production | monoethanolamine | Cutoff, U - RER</t>
  </si>
  <si>
    <t>Monoethanolamin [kg]</t>
  </si>
  <si>
    <t>market for hard coal | hard coal | Cutoff, U - RoW</t>
  </si>
  <si>
    <t>hard coal mine operation and hard coal preparation | hard coal | Cutoff, U - RoW</t>
  </si>
  <si>
    <t>market for transport, freight, sea, bulk carrier for dry goods | transport, freight, sea, bulk carrier for dry goods | Cutoff, U - GLO</t>
  </si>
  <si>
    <t>market group for transport, freight train | transport, freight train | Cutoff, U - RER</t>
  </si>
  <si>
    <t>market for transport, freight, lorry, unspecified | transport, freight, lorry, unspecified | Cutoff, U - RER</t>
  </si>
  <si>
    <t>market for hard coal | hard coal | Cutoff, U - Europe, without Russia and Turkey</t>
  </si>
  <si>
    <t>hard coal mine operation and hard coal preparation | hard coal | Cutoff, U - Europe, without Russia and Turkey</t>
  </si>
  <si>
    <t>hard coal, import from RU | hard coal | Cutoff, U - Europe, without Russia and Turkey</t>
  </si>
  <si>
    <t>hard coal, import from RLA | hard coal | Cutoff, U - Europe, without Russia and Turkey</t>
  </si>
  <si>
    <t>hard coal, import from RNA | hard coal | Cutoff, U - Europe, without Russia and Turkey</t>
  </si>
  <si>
    <t>1*Gaspreis Standort</t>
  </si>
  <si>
    <t>Hydrogen loss</t>
  </si>
  <si>
    <t>Compression plant</t>
  </si>
  <si>
    <t>Aluminiumoxid</t>
  </si>
  <si>
    <t>Platin</t>
  </si>
  <si>
    <t>Toluen</t>
  </si>
  <si>
    <t>Hydrogen use for heat gen</t>
  </si>
  <si>
    <t>kg CO2 Äq./item</t>
  </si>
  <si>
    <t>22_210327_hydrogen_liquefaction_plant_wulf18 - GLO</t>
  </si>
  <si>
    <t>market for concrete, normal | concrete, normal | Cutoff, U - RoW</t>
  </si>
  <si>
    <t>market for aluminium alloy, AlLi | aluminium alloy, AlLi | Cutoff, U - GLO</t>
  </si>
  <si>
    <t>Liquefaction plant</t>
  </si>
  <si>
    <t>market for chemical factory | chemical factory | Cutoff, U - GLO</t>
  </si>
  <si>
    <t>chemical factory construction | chemical factory | Cutoff, U - RoW</t>
  </si>
  <si>
    <t>chemical factory construction | chemical factory | Cutoff, U - RER</t>
  </si>
  <si>
    <t>Chemical factory</t>
  </si>
  <si>
    <t>GWP [kg]</t>
  </si>
  <si>
    <t>Kosten [kg]</t>
  </si>
  <si>
    <t>market for toluene, liquid | toluene, liquid | Cutoff, S (copy) - RoW</t>
  </si>
  <si>
    <t>market for aluminium oxide, metallurgical | aluminium oxide, metallurgical | Cutoff, U - RoW</t>
  </si>
  <si>
    <t>aluminium oxide production | aluminium oxide, metallurgical | Cutoff, U - CN</t>
  </si>
  <si>
    <t>aluminium oxide production | aluminium oxide, metallurgical | Cutoff, U - UN-OCEANIA</t>
  </si>
  <si>
    <t>aluminium oxide production | aluminium oxide, metallurgical | Cutoff, U - IAI Area, Asia, without China and GCC</t>
  </si>
  <si>
    <t>aluminium oxide production | aluminium oxide, metallurgical | Cutoff, U - IAI Area, South America</t>
  </si>
  <si>
    <t>aluminium oxide production | aluminium oxide, metallurgical | Cutoff, U - RNA</t>
  </si>
  <si>
    <t>aluminium oxide production | aluminium oxide, metallurgical | Cutoff, U - IAI Area, Russia &amp; RER w/o EU27 &amp; EFTA</t>
  </si>
  <si>
    <t>market for transport, freight train | transport, freight train | Cutoff, U - RoW</t>
  </si>
  <si>
    <t>market for transport, freight train | transport, freight train | Cutoff, U - US</t>
  </si>
  <si>
    <t>market for transport, freight, lorry, unspecified | transport, freight, lorry, unspecified | Cutoff, U - RoW</t>
  </si>
  <si>
    <t>market for transport, freight train | transport, freight train | Cutoff, U - CN</t>
  </si>
  <si>
    <t>market for transport, freight train | transport, freight train | Cutoff, U - IN</t>
  </si>
  <si>
    <t>market for transport, freight, lorry, unspecified | transport, freight, lorry, unspecified | Cutoff, U - ZA</t>
  </si>
  <si>
    <t>market for transport, freight train | transport, freight train | Cutoff, U - ZA</t>
  </si>
  <si>
    <t>market for transport, freight train | transport, freight train | Cutoff, U - CH</t>
  </si>
  <si>
    <t>Aluminiumoxid RoW</t>
  </si>
  <si>
    <t>market for platinum | platinum | Cutoff, U - GLO</t>
  </si>
  <si>
    <t>platinum group metal mine operation, ore with high palladium content | platinum | Cutoff, U - RU</t>
  </si>
  <si>
    <t>treatment of automobile catalyst | platinum | Cutoff, U - RoW</t>
  </si>
  <si>
    <t>treatment of automobile catalyst | platinum | Cutoff, U - RER</t>
  </si>
  <si>
    <t>Input</t>
  </si>
  <si>
    <t>Output</t>
  </si>
  <si>
    <t>transport, pipeline, long distance, natural gas | transport, pipeline, long distance, natural gas | Cutoff, S (copy) - DE</t>
  </si>
  <si>
    <t>Pipeline DE</t>
  </si>
  <si>
    <t>GWP [tkm]</t>
  </si>
  <si>
    <t>Kosten [tkm]</t>
  </si>
  <si>
    <t>Pipeline natural gas DE</t>
  </si>
  <si>
    <t>Pipeline natural gas Europa Onshore</t>
  </si>
  <si>
    <t>market for transport, pipeline, onshore, long distance, natural gas | transport, pipeline, onshore, long distance, natural gas | Cutoff, S (copy) - RER</t>
  </si>
  <si>
    <t>Pipeline natural gas Europa Offshore</t>
  </si>
  <si>
    <t>market for transport, pipeline, offshore, long distance, natural gas | transport, pipeline, offshore, long distance, natural gas | Cutoff, S (copy) - RER</t>
  </si>
  <si>
    <t>market for transport, freight, sea, tanker for liquefied natural gas | transport, freight, sea, tanker for liquefied natural gas | Cutoff, S (copy) - GLO</t>
  </si>
  <si>
    <t>kg CO2 Äq./g</t>
  </si>
  <si>
    <t>market for transport, freight, sea, tanker for liquid goods other than petroleum and liquefied natural gas | transport, freight, sea, tanker for liquid goods other than petroleum and liquefied natural gas | Cutoff, U - GLO</t>
  </si>
  <si>
    <t>Pipeline Onshore</t>
  </si>
  <si>
    <t>Pipeline Offshore</t>
  </si>
  <si>
    <t>Erklärung</t>
  </si>
  <si>
    <t>Es müssen 16 kg hydrierter LOHC zum Transport von 1 kg H2 transportiert werden</t>
  </si>
  <si>
    <t>kg CO2 Äq./(kgH2*Tkm)</t>
  </si>
  <si>
    <t>Truck Eropa (Flüssig)</t>
  </si>
  <si>
    <t>Truck Europa (LOHC)</t>
  </si>
  <si>
    <t>market for transport, freight, lorry &gt;32 metric ton, EURO6 | transport, freight, lorry &gt;32 metric ton, EURO6 | Cutoff, U - RER</t>
  </si>
  <si>
    <t>Transport von Fracht Truck in Europa</t>
  </si>
  <si>
    <t>electricity production, wind, &gt;3MW turbine, onshore | electricity, high voltage | Cutoff, U - RoW</t>
  </si>
  <si>
    <t>market for wind turbine, 4.5MW, onshore | wind turbine, 4.5MW, onshore | Cutoff, U - GLO</t>
  </si>
  <si>
    <t>market for network connection, turbine 4.5MW, onshore | wind turbine network connection, 4.5MW, onshore | Cutoff, U - GLO</t>
  </si>
  <si>
    <t>market for waste mineral oil | waste mineral oil | Cutoff, U - RoW</t>
  </si>
  <si>
    <t>market for lubricating oil | lubricating oil | Cutoff, U - RoW</t>
  </si>
  <si>
    <t>market for transport, freight, lorry 7.5-16 metric ton, EURO3 | transport, freight, lorry 7.5-16 metric ton, EURO3 | Cutoff, U - RoW</t>
  </si>
  <si>
    <t>GWP [kWh]</t>
  </si>
  <si>
    <t>electricity production, photovoltaic, 570kWp open ground installation, multi-Si | electricity, low voltage | Cutoff, U - RoW</t>
  </si>
  <si>
    <t>market for photovoltaic plant, 570kWp, multi-Si, on open ground | photovoltaic plant, 570kWp, multi-Si, on open ground | Cutoff, U - GLO</t>
  </si>
  <si>
    <t>Siehe MA (Trade-Off aus geringerem Fahrzeuggewicht und mehr Fahrzeuggewicht pro Einheit bei geringerer Last)</t>
  </si>
  <si>
    <t>CCS Plant</t>
  </si>
  <si>
    <t>H2 Durchsatz Lifetime [kg]</t>
  </si>
  <si>
    <t>Durchsatz [kg/Stunde]</t>
  </si>
  <si>
    <t>[kWh/kg]</t>
  </si>
  <si>
    <t>Leistung [MW]</t>
  </si>
  <si>
    <t>Daten im Input variabel</t>
  </si>
  <si>
    <t>H2 Durchsatz pro Jahr [kg/Jahr]</t>
  </si>
  <si>
    <t>kg CO2 Äq./kg Plant</t>
  </si>
  <si>
    <t>Investitionskosten</t>
  </si>
  <si>
    <t>Jährliche Kapitalkosten</t>
  </si>
  <si>
    <t>Lebensdauer</t>
  </si>
  <si>
    <t>Vollaststunden</t>
  </si>
  <si>
    <t>Wirkungsgrad</t>
  </si>
  <si>
    <t>Daten nicht vorhanden/ zu ermitteln</t>
  </si>
  <si>
    <t>Alle Daten in kg CO2 Äq./kg</t>
  </si>
  <si>
    <t>CO2 emission</t>
  </si>
  <si>
    <t>item/kg H2</t>
  </si>
  <si>
    <t>kg plant/kg H2</t>
  </si>
  <si>
    <t>Alle Entfernungen in Tausend Kilometer</t>
  </si>
  <si>
    <t>Betrachtung des kürzesten Importweges</t>
  </si>
  <si>
    <t>Pipeline</t>
  </si>
  <si>
    <t>n/a</t>
  </si>
  <si>
    <t>Gesamt</t>
  </si>
  <si>
    <t>Ghana</t>
  </si>
  <si>
    <t>Ghana 2030</t>
  </si>
  <si>
    <t>Thailand</t>
  </si>
  <si>
    <t>Solar</t>
  </si>
  <si>
    <t>[%]/100 km</t>
  </si>
  <si>
    <t>[%]</t>
  </si>
  <si>
    <t>Blatt</t>
  </si>
  <si>
    <t>Beschreibung</t>
  </si>
  <si>
    <t>Übersicht</t>
  </si>
  <si>
    <t>Übersicht der Inputparameter</t>
  </si>
  <si>
    <t>H2 Produktion_Input</t>
  </si>
  <si>
    <t>Input der Prozesse für verschiedene H2 Produktionsverfahren</t>
  </si>
  <si>
    <t>H2 Produktion_Input_Wirkung</t>
  </si>
  <si>
    <t>GWP und Kosten der Inputdaten für die H2 Produktion</t>
  </si>
  <si>
    <t>H2 Produktion_Output</t>
  </si>
  <si>
    <t>Umwandlungen_Input</t>
  </si>
  <si>
    <t>Input der Prozesse für verschiedene H2 Umwandlungsverfahren</t>
  </si>
  <si>
    <t>Umwandlungen_Input_Wirkung</t>
  </si>
  <si>
    <t>GWP und Kosten der Inputdaten für die H2 Umwandlungen</t>
  </si>
  <si>
    <t>Transport_Output_Wirkung</t>
  </si>
  <si>
    <t>GWP und H2 loss für verschiedene H2 Transportverfahren</t>
  </si>
  <si>
    <t>Transport_Korrekturfaktoren</t>
  </si>
  <si>
    <t>Bestimmung des GWP der H2 Transportverfahren</t>
  </si>
  <si>
    <t>OpenLCA Ergebnisse</t>
  </si>
  <si>
    <t>Werte der genutzten Open LCA Daten</t>
  </si>
  <si>
    <t>Umrechnungsparameter</t>
  </si>
  <si>
    <t>Genutzte Umrechnungsparameter</t>
  </si>
  <si>
    <t>Entfernungen</t>
  </si>
  <si>
    <t>Preise</t>
  </si>
  <si>
    <t>TBD</t>
  </si>
  <si>
    <t>GWP_Rohstoffe_Regionen</t>
  </si>
  <si>
    <t>Auslastung_Wirkungsgrad</t>
  </si>
  <si>
    <t>Vollaststunden und Wirkungsgrade von H2 Produktions- und Umwandlungsverfahren</t>
  </si>
  <si>
    <t>Charakterisierungsmatrix</t>
  </si>
  <si>
    <t>GWP verschiedener Prozessoutputströme</t>
  </si>
  <si>
    <t>Input Python</t>
  </si>
  <si>
    <t>Nein</t>
  </si>
  <si>
    <t>Ja</t>
  </si>
  <si>
    <t>Output der Prozesse für verschiedene H2 Produktionsverfahren</t>
  </si>
  <si>
    <t>Verzeichnis</t>
  </si>
  <si>
    <t>PEM electrolysis</t>
  </si>
  <si>
    <t>Steam methane reforming</t>
  </si>
  <si>
    <t>Steam methane reforming + CCS</t>
  </si>
  <si>
    <t>Alkaline electrolysis</t>
  </si>
  <si>
    <t>Pyrolysis</t>
  </si>
  <si>
    <t>Coal gasification</t>
  </si>
  <si>
    <t>Coal gasification + CCS</t>
  </si>
  <si>
    <t>Solar hydrogen production</t>
  </si>
  <si>
    <t>Water</t>
  </si>
  <si>
    <t>1*Waterpreis Standort</t>
  </si>
  <si>
    <t>Electricitymix_Regionen</t>
  </si>
  <si>
    <t>GWP_Electricity</t>
  </si>
  <si>
    <t>GWP der unterschiedlichen Electricityerzeugungsverfahren</t>
  </si>
  <si>
    <t>Electricitymix</t>
  </si>
  <si>
    <t>Electricity (vor Wirkungsgrad)</t>
  </si>
  <si>
    <t>Electricity</t>
  </si>
  <si>
    <t>1*Electricitypreis Standort</t>
  </si>
  <si>
    <t>Electricityerzeugung Wind 4.5 MW RoW</t>
  </si>
  <si>
    <t>Electricityerzeugung PV 570 kWp Open Ground RoW</t>
  </si>
  <si>
    <t>Electricity [EUR/MWh]</t>
  </si>
  <si>
    <t>Methane emission</t>
  </si>
  <si>
    <t>Methane [EUR/m3]</t>
  </si>
  <si>
    <t>Coal</t>
  </si>
  <si>
    <t>1*Coalpreis Standort</t>
  </si>
  <si>
    <t>Coal EU</t>
  </si>
  <si>
    <t>Coal RoW</t>
  </si>
  <si>
    <t>Coal [EUR/t]</t>
  </si>
  <si>
    <t>Electricity production country</t>
  </si>
  <si>
    <t>Entfernungen zwischen Importregionen und Germany</t>
  </si>
  <si>
    <t>Anteile der Electricityerzeugungverfahren in Germany und den Importregionen</t>
  </si>
  <si>
    <t>GWP der Rohstoffbeschaffung in Germany und den Importregionen</t>
  </si>
  <si>
    <t>Electricity Germany</t>
  </si>
  <si>
    <t>Germany</t>
  </si>
  <si>
    <t>Germany 2020</t>
  </si>
  <si>
    <t>Germany 2030</t>
  </si>
  <si>
    <t>Regasification</t>
  </si>
  <si>
    <t>Regasification plant</t>
  </si>
  <si>
    <t>Hydrogenation plant</t>
  </si>
  <si>
    <t>Dehydrogenation plant</t>
  </si>
  <si>
    <t>Compression</t>
  </si>
  <si>
    <t>Relaxation</t>
  </si>
  <si>
    <t>Relaxation plant</t>
  </si>
  <si>
    <t>Hydrogenation (H2 to LOHC)</t>
  </si>
  <si>
    <t>Dehydrogenation (LOHC to H2)</t>
  </si>
  <si>
    <t>Liquefaction</t>
  </si>
  <si>
    <t>Ship (LOHC)</t>
  </si>
  <si>
    <t>Ship (flüssig)</t>
  </si>
  <si>
    <t>Shipstransport Flüssigkeiten</t>
  </si>
  <si>
    <t>Ship (liquefied)</t>
  </si>
  <si>
    <t>Road transport (liquefied)</t>
  </si>
  <si>
    <t>Road transport (LOHC)</t>
  </si>
  <si>
    <t>Road transport (gas)</t>
  </si>
  <si>
    <t>Truck Europa (gas)</t>
  </si>
  <si>
    <t>Norway</t>
  </si>
  <si>
    <t>Norway 2030</t>
  </si>
  <si>
    <t>Spain</t>
  </si>
  <si>
    <t>Spain 2030</t>
  </si>
  <si>
    <t>United Kingdom</t>
  </si>
  <si>
    <t>United Kingdom 2030</t>
  </si>
  <si>
    <t>Algeria</t>
  </si>
  <si>
    <t>Algeria 2030</t>
  </si>
  <si>
    <t>Australia</t>
  </si>
  <si>
    <t>Australia 2030</t>
  </si>
  <si>
    <t>Nuclear</t>
  </si>
  <si>
    <t>Natural gas</t>
  </si>
  <si>
    <t>Oil</t>
  </si>
  <si>
    <t>Wind onshore</t>
  </si>
  <si>
    <t>Wind offshore</t>
  </si>
  <si>
    <t>Biomass</t>
  </si>
  <si>
    <t>Other renewables</t>
  </si>
  <si>
    <t>Other</t>
  </si>
  <si>
    <t>Dichte von Natural gas ist ca. 8x höher als die von H2. Es wird also nur 1/8 der Masse an H2 transportiert</t>
  </si>
  <si>
    <t>Faktor aus Verhältnis der Dichte von FlüssigNatural gas und H2</t>
  </si>
  <si>
    <t>Shipstransport FlüssigNatural gas</t>
  </si>
  <si>
    <t>Dichte Natural gas (gas, Normbedingung)</t>
  </si>
  <si>
    <t>Dichte Natural gas/DichteH2 (gas, nach IG)</t>
  </si>
  <si>
    <t>Dichte Natural gas/DichteH2 (Flüssig)</t>
  </si>
  <si>
    <t>Solar only</t>
  </si>
  <si>
    <t>Wind only</t>
  </si>
  <si>
    <t>Norway 2020</t>
  </si>
  <si>
    <t>United Kingdom 2020</t>
  </si>
  <si>
    <t>Spain 2020</t>
  </si>
  <si>
    <t>Algeria 2020</t>
  </si>
  <si>
    <t>Ghana 2020</t>
  </si>
  <si>
    <t>Thailand 2020</t>
  </si>
  <si>
    <t>Australia 2020</t>
  </si>
  <si>
    <t>CO emission</t>
  </si>
  <si>
    <t>Qatar</t>
  </si>
  <si>
    <t>Qatar 2020</t>
  </si>
  <si>
    <t>Qatar 2030</t>
  </si>
  <si>
    <t>Thailand 2030</t>
  </si>
  <si>
    <t>Haber-Bosch (H2 to ammonia)</t>
  </si>
  <si>
    <t>Cracker (ammonia to H2)</t>
  </si>
  <si>
    <t>Nitrogen</t>
  </si>
  <si>
    <t>Chemical factory, kg</t>
  </si>
  <si>
    <t>Chemical Factory, item</t>
  </si>
  <si>
    <t>market for chemical factory, organics | chemical factory, organics | Cutoff, S - GLO</t>
  </si>
  <si>
    <t>Ship (ammonia)</t>
  </si>
  <si>
    <t>Heizwert Ammoniak</t>
  </si>
  <si>
    <t>Dichte Natural gas/Dichte Ammoniak (Flüssig)</t>
  </si>
  <si>
    <t>Faktor aus Verhältnis der Dichte von FlüssigNatural gas und Ammoniak multipliziert mit 5, da 5 Tonnen Ammoniak für 1 Tonne H2</t>
  </si>
  <si>
    <t>Liquefaction of ammonia</t>
  </si>
  <si>
    <t>Ammonia use for heat gen</t>
  </si>
  <si>
    <t>Brennwert Waterstoff</t>
  </si>
  <si>
    <t>Chile</t>
  </si>
  <si>
    <t>Chile 2020</t>
  </si>
  <si>
    <t xml:space="preserve">Chile 2030 </t>
  </si>
  <si>
    <t>worst case</t>
  </si>
  <si>
    <t>average</t>
  </si>
  <si>
    <t xml:space="preserve">best case </t>
  </si>
  <si>
    <t>Full load hours</t>
  </si>
  <si>
    <t>laut ecoinvent</t>
  </si>
  <si>
    <t xml:space="preserve">item </t>
  </si>
  <si>
    <t>capacity factor</t>
  </si>
  <si>
    <t>full load hours</t>
  </si>
  <si>
    <t>difference</t>
  </si>
  <si>
    <t>difference flh</t>
  </si>
  <si>
    <t xml:space="preserve">Combined heat </t>
  </si>
  <si>
    <t>Open ground</t>
  </si>
  <si>
    <t>Rooftop</t>
  </si>
  <si>
    <t>Natural Gas</t>
  </si>
  <si>
    <t>Average</t>
  </si>
  <si>
    <t>PV</t>
  </si>
  <si>
    <t>tap water production, seawater reverse osmosis, conventional pretreatment, baseline module, single stage | tap water | Cutoff, S - GLO</t>
  </si>
  <si>
    <t>market for water, deionised | water, deionised | Cutoff, U - Europe without Switzerland</t>
  </si>
  <si>
    <t>market for water, deionised | water, deionised | Cutoff, U - RoW</t>
  </si>
  <si>
    <t>kg</t>
  </si>
  <si>
    <t>Ergebnisse Norwegen</t>
  </si>
  <si>
    <t>market for natural gas, high pressure | natural gas, high pressure | Cutoff, U - DK</t>
  </si>
  <si>
    <t>natural gas, high pressure, import from NO | natural gas, high pressure | Cutoff, U - DK</t>
  </si>
  <si>
    <t>market for transport, pipeline, long distance, natural gas | transport, pipeline, long distance, natural gas | Cutoff, U - RER</t>
  </si>
  <si>
    <t>natural gas, high pressure, import from RU | natural gas, high pressure | Cutoff, U - DK</t>
  </si>
  <si>
    <t>market for electricity, medium voltage | electricity, medium voltage | Cutoff, U - DK</t>
  </si>
  <si>
    <t>natural gas, high pressure, import from DE | natural gas, high pressure | Cutoff, U - DK</t>
  </si>
  <si>
    <t>natural gas, high pressure, import from NL | natural gas, high pressure | Cutoff, U - DK</t>
  </si>
  <si>
    <t>natural gas, high pressure, import from GB | natural gas, high pressure | Cutoff, U - DK</t>
  </si>
  <si>
    <t>market group for natural gas, high pressure | natural gas, high pressure | Cutoff, S - GLO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</si>
</sst>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 #,##0.00_-;_-* &quot;-&quot;??_-;_-@_-"/>
    <numFmt numFmtId="164" formatCode="#,##0.000"/>
    <numFmt numFmtId="165" formatCode="#,##0.00\ &quot;€&quot;"/>
    <numFmt numFmtId="166" formatCode="_-* #,##0.00000_-;\-* #,##0.00000_-;_-* &quot;-&quot;??_-;_-@_-"/>
    <numFmt numFmtId="167" formatCode="#,##0.00000\ &quot;€&quot;"/>
    <numFmt numFmtId="168" formatCode="_-* #,##0.000_-;\-* #,##0.000_-;_-* &quot;-&quot;??_-;_-@_-"/>
    <numFmt numFmtId="169" formatCode="_-* #,##0.000000000000\ _€_-;\-* #,##0.000000000000\ _€_-;_-* &quot;-&quot;??\ _€_-;_-@_-"/>
    <numFmt numFmtId="170" formatCode="_-* #,##0.000000_-;\-* #,##0.000000_-;_-* &quot;-&quot;??_-;_-@_-"/>
    <numFmt numFmtId="171" formatCode="_-* #,##0.0000000000_-;\-* #,##0.0000000000_-;_-* &quot;-&quot;??_-;_-@_-"/>
    <numFmt numFmtId="172" formatCode="0.000"/>
    <numFmt numFmtId="173" formatCode="_-* #,##0.00000000\ _€_-;\-* #,##0.00000000\ _€_-;_-* &quot;-&quot;??\ _€_-;_-@_-"/>
    <numFmt numFmtId="174" formatCode="_-* #,##0.000000000\ _€_-;\-* #,##0.000000000\ _€_-;_-* &quot;-&quot;??\ _€_-;_-@_-"/>
    <numFmt numFmtId="175" formatCode="_-* #,##0.00\ _€_-;\-* #,##0.00\ _€_-;_-* &quot;-&quot;??\ _€_-;_-@_-"/>
    <numFmt numFmtId="176" formatCode="_-* #,##0.000\ _€_-;\-* #,##0.000\ _€_-;_-* &quot;-&quot;??\ _€_-;_-@_-"/>
  </numFmts>
  <fonts count="7"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sz val="10"/>
      <name val="Times New Roman"/>
      <family val="1"/>
    </font>
  </fonts>
  <fills count="12">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bgColor indexed="64"/>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s>
  <borders count="1">
    <border>
      <left/>
      <right/>
      <top/>
      <bottom/>
      <diagonal/>
    </border>
  </borders>
  <cellStyleXfs count="4">
    <xf numFmtId="0" fontId="0" fillId="0" borderId="0"/>
    <xf numFmtId="43"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51">
    <xf numFmtId="0" fontId="0" fillId="0" borderId="0" xfId="0"/>
    <xf numFmtId="164" fontId="0" fillId="0" borderId="0" xfId="0" applyNumberFormat="1"/>
    <xf numFmtId="164" fontId="0" fillId="2" borderId="0" xfId="0" applyNumberFormat="1" applyFill="1"/>
    <xf numFmtId="0" fontId="0" fillId="3" borderId="0" xfId="0" applyFill="1"/>
    <xf numFmtId="0" fontId="0" fillId="4" borderId="0" xfId="0" applyFill="1"/>
    <xf numFmtId="0" fontId="0" fillId="2" borderId="0" xfId="0" applyFill="1"/>
    <xf numFmtId="0" fontId="1" fillId="2" borderId="0" xfId="0" applyFont="1" applyFill="1"/>
    <xf numFmtId="0" fontId="1" fillId="3" borderId="0" xfId="0" applyFont="1" applyFill="1"/>
    <xf numFmtId="0" fontId="1" fillId="0" borderId="0" xfId="0" applyFont="1"/>
    <xf numFmtId="164" fontId="0" fillId="4" borderId="0" xfId="0" applyNumberFormat="1" applyFill="1"/>
    <xf numFmtId="0" fontId="1" fillId="4" borderId="0" xfId="0" applyFont="1" applyFill="1"/>
    <xf numFmtId="164" fontId="0" fillId="3" borderId="0" xfId="0" applyNumberFormat="1" applyFill="1"/>
    <xf numFmtId="0" fontId="0" fillId="5" borderId="0" xfId="0" applyFill="1"/>
    <xf numFmtId="10" fontId="0" fillId="0" borderId="0" xfId="0" applyNumberFormat="1"/>
    <xf numFmtId="11" fontId="0" fillId="0" borderId="0" xfId="0" applyNumberFormat="1"/>
    <xf numFmtId="43" fontId="0" fillId="6" borderId="0" xfId="1" applyFont="1" applyFill="1"/>
    <xf numFmtId="165" fontId="4" fillId="6" borderId="0" xfId="1" applyNumberFormat="1" applyFont="1" applyFill="1"/>
    <xf numFmtId="165" fontId="4" fillId="6" borderId="0" xfId="0" applyNumberFormat="1" applyFont="1" applyFill="1"/>
    <xf numFmtId="166" fontId="0" fillId="6" borderId="0" xfId="1" applyNumberFormat="1" applyFont="1" applyFill="1"/>
    <xf numFmtId="167" fontId="4" fillId="6" borderId="0" xfId="0" applyNumberFormat="1" applyFont="1" applyFill="1"/>
    <xf numFmtId="0" fontId="0" fillId="0" borderId="0" xfId="0" applyAlignment="1">
      <alignment wrapText="1"/>
    </xf>
    <xf numFmtId="0" fontId="0" fillId="7" borderId="0" xfId="0" applyFill="1"/>
    <xf numFmtId="0" fontId="0" fillId="8" borderId="0" xfId="0" applyFill="1"/>
    <xf numFmtId="9" fontId="0" fillId="8" borderId="0" xfId="0" applyNumberFormat="1" applyFill="1"/>
    <xf numFmtId="43" fontId="0" fillId="0" borderId="0" xfId="1" applyFont="1"/>
    <xf numFmtId="43" fontId="0" fillId="2" borderId="0" xfId="1" applyFont="1" applyFill="1"/>
    <xf numFmtId="43" fontId="0" fillId="8" borderId="0" xfId="1" applyFont="1" applyFill="1"/>
    <xf numFmtId="43" fontId="0" fillId="3" borderId="0" xfId="1" applyFont="1" applyFill="1"/>
    <xf numFmtId="168" fontId="0" fillId="6" borderId="0" xfId="1" applyNumberFormat="1" applyFont="1" applyFill="1"/>
    <xf numFmtId="169" fontId="0" fillId="3" borderId="0" xfId="0" applyNumberFormat="1" applyFill="1"/>
    <xf numFmtId="170" fontId="0" fillId="4" borderId="0" xfId="1" applyNumberFormat="1" applyFont="1" applyFill="1"/>
    <xf numFmtId="171" fontId="0" fillId="4" borderId="0" xfId="1" applyNumberFormat="1" applyFont="1" applyFill="1"/>
    <xf numFmtId="172" fontId="0" fillId="0" borderId="0" xfId="0" applyNumberFormat="1"/>
    <xf numFmtId="0" fontId="5" fillId="0" borderId="0" xfId="2"/>
    <xf numFmtId="0" fontId="5" fillId="0" borderId="0" xfId="2" quotePrefix="1"/>
    <xf numFmtId="0" fontId="5" fillId="0" borderId="0" xfId="2" applyFill="1"/>
    <xf numFmtId="0" fontId="5" fillId="0" borderId="0" xfId="2" quotePrefix="1" applyFill="1"/>
    <xf numFmtId="0" fontId="0" fillId="9" borderId="0" xfId="0" applyFill="1"/>
    <xf numFmtId="173" fontId="0" fillId="0" borderId="0" xfId="0" applyNumberFormat="1"/>
    <xf numFmtId="174" fontId="0" fillId="0" borderId="0" xfId="0" applyNumberFormat="1"/>
    <xf numFmtId="172" fontId="0" fillId="4" borderId="0" xfId="0" applyNumberFormat="1" applyFill="1"/>
    <xf numFmtId="11" fontId="0" fillId="6" borderId="0" xfId="1" applyNumberFormat="1" applyFont="1" applyFill="1"/>
    <xf numFmtId="175" fontId="0" fillId="0" borderId="0" xfId="0" applyNumberFormat="1"/>
    <xf numFmtId="176" fontId="0" fillId="0" borderId="0" xfId="0" applyNumberFormat="1"/>
    <xf numFmtId="0" fontId="0" fillId="0" borderId="0" xfId="0" applyAlignment="1">
      <alignment horizontal="center"/>
    </xf>
    <xf numFmtId="0" fontId="6" fillId="2" borderId="0" xfId="0" applyFont="1" applyFill="1"/>
    <xf numFmtId="9" fontId="0" fillId="0" borderId="0" xfId="3" applyFont="1"/>
    <xf numFmtId="172" fontId="0" fillId="9" borderId="0" xfId="0" applyNumberFormat="1" applyFill="1"/>
    <xf numFmtId="0" fontId="0" fillId="10" borderId="0" xfId="0" applyFill="1"/>
    <xf numFmtId="0" fontId="0" fillId="11" borderId="0" xfId="0" applyFill="1"/>
    <xf numFmtId="0" fontId="0" fillId="0" borderId="0" xfId="0" applyAlignment="1">
      <alignment horizontal="center"/>
    </xf>
  </cellXfs>
  <cellStyles count="4">
    <cellStyle name="Komma" xfId="1" builtinId="3"/>
    <cellStyle name="Link" xfId="2" builtinId="8"/>
    <cellStyle name="Prozent" xfId="3"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GWP</a:t>
            </a:r>
            <a:br>
              <a:rPr lang="de-DE"/>
            </a:br>
            <a:r>
              <a:rPr lang="de-DE"/>
              <a:t>(nach Prozessschritt)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Übersicht!$B$44</c:f>
              <c:strCache>
                <c:ptCount val="1"/>
                <c:pt idx="0">
                  <c:v>H2 Produktion</c:v>
                </c:pt>
              </c:strCache>
            </c:strRef>
          </c:tx>
          <c:spPr>
            <a:solidFill>
              <a:schemeClr val="accent1"/>
            </a:solidFill>
            <a:ln>
              <a:noFill/>
            </a:ln>
            <a:effectLst/>
          </c:spPr>
          <c:invertIfNegative val="0"/>
          <c:val>
            <c:numRef>
              <c:f>Übersicht!$C$44</c:f>
              <c:numCache>
                <c:formatCode>General</c:formatCode>
                <c:ptCount val="1"/>
                <c:pt idx="0">
                  <c:v>10</c:v>
                </c:pt>
              </c:numCache>
            </c:numRef>
          </c:val>
          <c:extLst>
            <c:ext xmlns:c16="http://schemas.microsoft.com/office/drawing/2014/chart" uri="{C3380CC4-5D6E-409C-BE32-E72D297353CC}">
              <c16:uniqueId val="{00000000-3484-4CAD-9A43-A3E71551F4D6}"/>
            </c:ext>
          </c:extLst>
        </c:ser>
        <c:ser>
          <c:idx val="1"/>
          <c:order val="1"/>
          <c:tx>
            <c:strRef>
              <c:f>Übersicht!$B$45</c:f>
              <c:strCache>
                <c:ptCount val="1"/>
                <c:pt idx="0">
                  <c:v>Umwandlungen</c:v>
                </c:pt>
              </c:strCache>
            </c:strRef>
          </c:tx>
          <c:spPr>
            <a:solidFill>
              <a:schemeClr val="accent2"/>
            </a:solidFill>
            <a:ln>
              <a:noFill/>
            </a:ln>
            <a:effectLst/>
          </c:spPr>
          <c:invertIfNegative val="0"/>
          <c:val>
            <c:numRef>
              <c:f>Übersicht!$C$45</c:f>
              <c:numCache>
                <c:formatCode>General</c:formatCode>
                <c:ptCount val="1"/>
                <c:pt idx="0">
                  <c:v>5</c:v>
                </c:pt>
              </c:numCache>
            </c:numRef>
          </c:val>
          <c:extLst>
            <c:ext xmlns:c16="http://schemas.microsoft.com/office/drawing/2014/chart" uri="{C3380CC4-5D6E-409C-BE32-E72D297353CC}">
              <c16:uniqueId val="{00000001-3484-4CAD-9A43-A3E71551F4D6}"/>
            </c:ext>
          </c:extLst>
        </c:ser>
        <c:ser>
          <c:idx val="2"/>
          <c:order val="2"/>
          <c:tx>
            <c:strRef>
              <c:f>Übersicht!$B$46</c:f>
              <c:strCache>
                <c:ptCount val="1"/>
                <c:pt idx="0">
                  <c:v>Transport</c:v>
                </c:pt>
              </c:strCache>
            </c:strRef>
          </c:tx>
          <c:spPr>
            <a:solidFill>
              <a:schemeClr val="accent3"/>
            </a:solidFill>
            <a:ln>
              <a:noFill/>
            </a:ln>
            <a:effectLst/>
          </c:spPr>
          <c:invertIfNegative val="0"/>
          <c:val>
            <c:numRef>
              <c:f>Übersicht!$C$46</c:f>
              <c:numCache>
                <c:formatCode>General</c:formatCode>
                <c:ptCount val="1"/>
                <c:pt idx="0">
                  <c:v>5</c:v>
                </c:pt>
              </c:numCache>
            </c:numRef>
          </c:val>
          <c:extLst>
            <c:ext xmlns:c16="http://schemas.microsoft.com/office/drawing/2014/chart" uri="{C3380CC4-5D6E-409C-BE32-E72D297353CC}">
              <c16:uniqueId val="{00000002-3484-4CAD-9A43-A3E71551F4D6}"/>
            </c:ext>
          </c:extLst>
        </c:ser>
        <c:dLbls>
          <c:showLegendKey val="0"/>
          <c:showVal val="0"/>
          <c:showCatName val="0"/>
          <c:showSerName val="0"/>
          <c:showPercent val="0"/>
          <c:showBubbleSize val="0"/>
        </c:dLbls>
        <c:gapWidth val="150"/>
        <c:overlap val="100"/>
        <c:axId val="701389560"/>
        <c:axId val="701390872"/>
      </c:barChart>
      <c:catAx>
        <c:axId val="701389560"/>
        <c:scaling>
          <c:orientation val="minMax"/>
        </c:scaling>
        <c:delete val="1"/>
        <c:axPos val="b"/>
        <c:numFmt formatCode="General" sourceLinked="1"/>
        <c:majorTickMark val="none"/>
        <c:minorTickMark val="none"/>
        <c:tickLblPos val="nextTo"/>
        <c:crossAx val="701390872"/>
        <c:crosses val="autoZero"/>
        <c:auto val="1"/>
        <c:lblAlgn val="ctr"/>
        <c:lblOffset val="100"/>
        <c:noMultiLvlLbl val="0"/>
      </c:catAx>
      <c:valAx>
        <c:axId val="701390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[T CO2 Äq.]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01389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GWP</a:t>
            </a:r>
            <a:br>
              <a:rPr lang="de-DE"/>
            </a:br>
            <a:r>
              <a:rPr lang="de-DE"/>
              <a:t>(nach Emittent)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Übersicht!$B$48</c:f>
              <c:strCache>
                <c:ptCount val="1"/>
                <c:pt idx="0">
                  <c:v>Electricitymix</c:v>
                </c:pt>
              </c:strCache>
            </c:strRef>
          </c:tx>
          <c:spPr>
            <a:solidFill>
              <a:schemeClr val="accent1"/>
            </a:solidFill>
            <a:ln>
              <a:noFill/>
            </a:ln>
            <a:effectLst/>
          </c:spPr>
          <c:invertIfNegative val="0"/>
          <c:val>
            <c:numRef>
              <c:f>Übersicht!$D$48</c:f>
              <c:numCache>
                <c:formatCode>General</c:formatCode>
                <c:ptCount val="1"/>
                <c:pt idx="0">
                  <c:v>12</c:v>
                </c:pt>
              </c:numCache>
            </c:numRef>
          </c:val>
          <c:extLst>
            <c:ext xmlns:c16="http://schemas.microsoft.com/office/drawing/2014/chart" uri="{C3380CC4-5D6E-409C-BE32-E72D297353CC}">
              <c16:uniqueId val="{00000000-9499-4956-BD76-D213C951231E}"/>
            </c:ext>
          </c:extLst>
        </c:ser>
        <c:ser>
          <c:idx val="1"/>
          <c:order val="1"/>
          <c:tx>
            <c:strRef>
              <c:f>Übersicht!$B$49</c:f>
              <c:strCache>
                <c:ptCount val="1"/>
                <c:pt idx="0">
                  <c:v>Fuel</c:v>
                </c:pt>
              </c:strCache>
            </c:strRef>
          </c:tx>
          <c:spPr>
            <a:solidFill>
              <a:schemeClr val="accent2"/>
            </a:solidFill>
            <a:ln>
              <a:noFill/>
            </a:ln>
            <a:effectLst/>
          </c:spPr>
          <c:invertIfNegative val="0"/>
          <c:val>
            <c:numRef>
              <c:f>Übersicht!$D$49</c:f>
              <c:numCache>
                <c:formatCode>General</c:formatCode>
                <c:ptCount val="1"/>
                <c:pt idx="0">
                  <c:v>5</c:v>
                </c:pt>
              </c:numCache>
            </c:numRef>
          </c:val>
          <c:extLst>
            <c:ext xmlns:c16="http://schemas.microsoft.com/office/drawing/2014/chart" uri="{C3380CC4-5D6E-409C-BE32-E72D297353CC}">
              <c16:uniqueId val="{00000001-9499-4956-BD76-D213C951231E}"/>
            </c:ext>
          </c:extLst>
        </c:ser>
        <c:ser>
          <c:idx val="2"/>
          <c:order val="2"/>
          <c:tx>
            <c:strRef>
              <c:f>Übersicht!$B$50</c:f>
              <c:strCache>
                <c:ptCount val="1"/>
                <c:pt idx="0">
                  <c:v>Other</c:v>
                </c:pt>
              </c:strCache>
            </c:strRef>
          </c:tx>
          <c:spPr>
            <a:solidFill>
              <a:schemeClr val="accent3"/>
            </a:solidFill>
            <a:ln>
              <a:noFill/>
            </a:ln>
            <a:effectLst/>
          </c:spPr>
          <c:invertIfNegative val="0"/>
          <c:val>
            <c:numRef>
              <c:f>Übersicht!$D$50</c:f>
              <c:numCache>
                <c:formatCode>General</c:formatCode>
                <c:ptCount val="1"/>
                <c:pt idx="0">
                  <c:v>3</c:v>
                </c:pt>
              </c:numCache>
            </c:numRef>
          </c:val>
          <c:extLst>
            <c:ext xmlns:c16="http://schemas.microsoft.com/office/drawing/2014/chart" uri="{C3380CC4-5D6E-409C-BE32-E72D297353CC}">
              <c16:uniqueId val="{00000002-9499-4956-BD76-D213C951231E}"/>
            </c:ext>
          </c:extLst>
        </c:ser>
        <c:dLbls>
          <c:showLegendKey val="0"/>
          <c:showVal val="0"/>
          <c:showCatName val="0"/>
          <c:showSerName val="0"/>
          <c:showPercent val="0"/>
          <c:showBubbleSize val="0"/>
        </c:dLbls>
        <c:gapWidth val="150"/>
        <c:overlap val="100"/>
        <c:axId val="697689768"/>
        <c:axId val="697688784"/>
      </c:barChart>
      <c:catAx>
        <c:axId val="697689768"/>
        <c:scaling>
          <c:orientation val="minMax"/>
        </c:scaling>
        <c:delete val="1"/>
        <c:axPos val="b"/>
        <c:numFmt formatCode="General" sourceLinked="1"/>
        <c:majorTickMark val="none"/>
        <c:minorTickMark val="none"/>
        <c:tickLblPos val="nextTo"/>
        <c:crossAx val="697688784"/>
        <c:crosses val="autoZero"/>
        <c:auto val="1"/>
        <c:lblAlgn val="ctr"/>
        <c:lblOffset val="100"/>
        <c:noMultiLvlLbl val="0"/>
      </c:catAx>
      <c:valAx>
        <c:axId val="697688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 CO2 Äq.]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7689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Kosten</a:t>
            </a:r>
            <a:br>
              <a:rPr lang="de-DE"/>
            </a:br>
            <a:r>
              <a:rPr lang="de-DE"/>
              <a:t>(nach Prozesschritt)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Übersicht!$B$44</c:f>
              <c:strCache>
                <c:ptCount val="1"/>
                <c:pt idx="0">
                  <c:v>H2 Produktion</c:v>
                </c:pt>
              </c:strCache>
            </c:strRef>
          </c:tx>
          <c:spPr>
            <a:solidFill>
              <a:schemeClr val="accent1"/>
            </a:solidFill>
            <a:ln>
              <a:noFill/>
            </a:ln>
            <a:effectLst/>
          </c:spPr>
          <c:invertIfNegative val="0"/>
          <c:val>
            <c:numRef>
              <c:f>Übersicht!$E$44</c:f>
              <c:numCache>
                <c:formatCode>General</c:formatCode>
                <c:ptCount val="1"/>
                <c:pt idx="0">
                  <c:v>3</c:v>
                </c:pt>
              </c:numCache>
            </c:numRef>
          </c:val>
          <c:extLst>
            <c:ext xmlns:c16="http://schemas.microsoft.com/office/drawing/2014/chart" uri="{C3380CC4-5D6E-409C-BE32-E72D297353CC}">
              <c16:uniqueId val="{00000000-6254-4A11-BB78-5B613FDCC07D}"/>
            </c:ext>
          </c:extLst>
        </c:ser>
        <c:ser>
          <c:idx val="1"/>
          <c:order val="1"/>
          <c:tx>
            <c:strRef>
              <c:f>Übersicht!$B$45</c:f>
              <c:strCache>
                <c:ptCount val="1"/>
                <c:pt idx="0">
                  <c:v>Umwandlungen</c:v>
                </c:pt>
              </c:strCache>
            </c:strRef>
          </c:tx>
          <c:spPr>
            <a:solidFill>
              <a:schemeClr val="accent2"/>
            </a:solidFill>
            <a:ln>
              <a:noFill/>
            </a:ln>
            <a:effectLst/>
          </c:spPr>
          <c:invertIfNegative val="0"/>
          <c:val>
            <c:numRef>
              <c:f>Übersicht!$E$45</c:f>
              <c:numCache>
                <c:formatCode>General</c:formatCode>
                <c:ptCount val="1"/>
                <c:pt idx="0">
                  <c:v>2</c:v>
                </c:pt>
              </c:numCache>
            </c:numRef>
          </c:val>
          <c:extLst>
            <c:ext xmlns:c16="http://schemas.microsoft.com/office/drawing/2014/chart" uri="{C3380CC4-5D6E-409C-BE32-E72D297353CC}">
              <c16:uniqueId val="{00000001-6254-4A11-BB78-5B613FDCC07D}"/>
            </c:ext>
          </c:extLst>
        </c:ser>
        <c:ser>
          <c:idx val="2"/>
          <c:order val="2"/>
          <c:tx>
            <c:strRef>
              <c:f>Übersicht!$B$46</c:f>
              <c:strCache>
                <c:ptCount val="1"/>
                <c:pt idx="0">
                  <c:v>Transport</c:v>
                </c:pt>
              </c:strCache>
            </c:strRef>
          </c:tx>
          <c:spPr>
            <a:solidFill>
              <a:schemeClr val="accent3"/>
            </a:solidFill>
            <a:ln>
              <a:noFill/>
            </a:ln>
            <a:effectLst/>
          </c:spPr>
          <c:invertIfNegative val="0"/>
          <c:val>
            <c:numRef>
              <c:f>Übersicht!$E$46</c:f>
              <c:numCache>
                <c:formatCode>General</c:formatCode>
                <c:ptCount val="1"/>
                <c:pt idx="0">
                  <c:v>2</c:v>
                </c:pt>
              </c:numCache>
            </c:numRef>
          </c:val>
          <c:extLst>
            <c:ext xmlns:c16="http://schemas.microsoft.com/office/drawing/2014/chart" uri="{C3380CC4-5D6E-409C-BE32-E72D297353CC}">
              <c16:uniqueId val="{00000002-6254-4A11-BB78-5B613FDCC07D}"/>
            </c:ext>
          </c:extLst>
        </c:ser>
        <c:dLbls>
          <c:showLegendKey val="0"/>
          <c:showVal val="0"/>
          <c:showCatName val="0"/>
          <c:showSerName val="0"/>
          <c:showPercent val="0"/>
          <c:showBubbleSize val="0"/>
        </c:dLbls>
        <c:gapWidth val="150"/>
        <c:overlap val="100"/>
        <c:axId val="740920856"/>
        <c:axId val="740918560"/>
      </c:barChart>
      <c:catAx>
        <c:axId val="740920856"/>
        <c:scaling>
          <c:orientation val="minMax"/>
        </c:scaling>
        <c:delete val="1"/>
        <c:axPos val="b"/>
        <c:numFmt formatCode="General" sourceLinked="1"/>
        <c:majorTickMark val="none"/>
        <c:minorTickMark val="none"/>
        <c:tickLblPos val="nextTo"/>
        <c:crossAx val="740918560"/>
        <c:crosses val="autoZero"/>
        <c:auto val="1"/>
        <c:lblAlgn val="ctr"/>
        <c:lblOffset val="100"/>
        <c:noMultiLvlLbl val="0"/>
      </c:catAx>
      <c:valAx>
        <c:axId val="74091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40920856"/>
        <c:crosses val="autoZero"/>
        <c:crossBetween val="between"/>
      </c:valAx>
      <c:spPr>
        <a:noFill/>
        <a:ln>
          <a:noFill/>
        </a:ln>
        <a:effectLst/>
      </c:spPr>
    </c:plotArea>
    <c:legend>
      <c:legendPos val="b"/>
      <c:layout>
        <c:manualLayout>
          <c:xMode val="edge"/>
          <c:yMode val="edge"/>
          <c:x val="3.0600361847972886E-2"/>
          <c:y val="0.82328373194514926"/>
          <c:w val="0.90643681675712884"/>
          <c:h val="0.148996240334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Kosten</a:t>
            </a:r>
            <a:br>
              <a:rPr lang="de-DE"/>
            </a:br>
            <a:r>
              <a:rPr lang="de-DE"/>
              <a:t>(nach Emittent)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stacked"/>
        <c:varyColors val="0"/>
        <c:ser>
          <c:idx val="0"/>
          <c:order val="0"/>
          <c:tx>
            <c:strRef>
              <c:f>Übersicht!$B$48</c:f>
              <c:strCache>
                <c:ptCount val="1"/>
                <c:pt idx="0">
                  <c:v>Electricitymix</c:v>
                </c:pt>
              </c:strCache>
            </c:strRef>
          </c:tx>
          <c:spPr>
            <a:solidFill>
              <a:schemeClr val="accent1"/>
            </a:solidFill>
            <a:ln>
              <a:noFill/>
            </a:ln>
            <a:effectLst/>
          </c:spPr>
          <c:invertIfNegative val="0"/>
          <c:val>
            <c:numRef>
              <c:f>Übersicht!$F$48</c:f>
              <c:numCache>
                <c:formatCode>General</c:formatCode>
                <c:ptCount val="1"/>
                <c:pt idx="0">
                  <c:v>4</c:v>
                </c:pt>
              </c:numCache>
            </c:numRef>
          </c:val>
          <c:extLst>
            <c:ext xmlns:c16="http://schemas.microsoft.com/office/drawing/2014/chart" uri="{C3380CC4-5D6E-409C-BE32-E72D297353CC}">
              <c16:uniqueId val="{00000000-A027-4FDD-A49E-1284CEF18CB5}"/>
            </c:ext>
          </c:extLst>
        </c:ser>
        <c:ser>
          <c:idx val="1"/>
          <c:order val="1"/>
          <c:tx>
            <c:strRef>
              <c:f>Übersicht!$B$49</c:f>
              <c:strCache>
                <c:ptCount val="1"/>
                <c:pt idx="0">
                  <c:v>Fuel</c:v>
                </c:pt>
              </c:strCache>
            </c:strRef>
          </c:tx>
          <c:spPr>
            <a:solidFill>
              <a:schemeClr val="accent2"/>
            </a:solidFill>
            <a:ln>
              <a:noFill/>
            </a:ln>
            <a:effectLst/>
          </c:spPr>
          <c:invertIfNegative val="0"/>
          <c:val>
            <c:numRef>
              <c:f>Übersicht!$F$49</c:f>
              <c:numCache>
                <c:formatCode>General</c:formatCode>
                <c:ptCount val="1"/>
                <c:pt idx="0">
                  <c:v>2</c:v>
                </c:pt>
              </c:numCache>
            </c:numRef>
          </c:val>
          <c:extLst>
            <c:ext xmlns:c16="http://schemas.microsoft.com/office/drawing/2014/chart" uri="{C3380CC4-5D6E-409C-BE32-E72D297353CC}">
              <c16:uniqueId val="{00000001-A027-4FDD-A49E-1284CEF18CB5}"/>
            </c:ext>
          </c:extLst>
        </c:ser>
        <c:ser>
          <c:idx val="2"/>
          <c:order val="2"/>
          <c:tx>
            <c:strRef>
              <c:f>Übersicht!$B$50</c:f>
              <c:strCache>
                <c:ptCount val="1"/>
                <c:pt idx="0">
                  <c:v>Other</c:v>
                </c:pt>
              </c:strCache>
            </c:strRef>
          </c:tx>
          <c:spPr>
            <a:solidFill>
              <a:schemeClr val="accent3"/>
            </a:solidFill>
            <a:ln>
              <a:noFill/>
            </a:ln>
            <a:effectLst/>
          </c:spPr>
          <c:invertIfNegative val="0"/>
          <c:val>
            <c:numRef>
              <c:f>Übersicht!$F$50</c:f>
              <c:numCache>
                <c:formatCode>General</c:formatCode>
                <c:ptCount val="1"/>
                <c:pt idx="0">
                  <c:v>1</c:v>
                </c:pt>
              </c:numCache>
            </c:numRef>
          </c:val>
          <c:extLst>
            <c:ext xmlns:c16="http://schemas.microsoft.com/office/drawing/2014/chart" uri="{C3380CC4-5D6E-409C-BE32-E72D297353CC}">
              <c16:uniqueId val="{00000002-A027-4FDD-A49E-1284CEF18CB5}"/>
            </c:ext>
          </c:extLst>
        </c:ser>
        <c:dLbls>
          <c:showLegendKey val="0"/>
          <c:showVal val="0"/>
          <c:showCatName val="0"/>
          <c:showSerName val="0"/>
          <c:showPercent val="0"/>
          <c:showBubbleSize val="0"/>
        </c:dLbls>
        <c:gapWidth val="150"/>
        <c:overlap val="100"/>
        <c:axId val="688966512"/>
        <c:axId val="688966840"/>
      </c:barChart>
      <c:catAx>
        <c:axId val="688966512"/>
        <c:scaling>
          <c:orientation val="minMax"/>
        </c:scaling>
        <c:delete val="1"/>
        <c:axPos val="b"/>
        <c:numFmt formatCode="General" sourceLinked="1"/>
        <c:majorTickMark val="none"/>
        <c:minorTickMark val="none"/>
        <c:tickLblPos val="nextTo"/>
        <c:crossAx val="688966840"/>
        <c:crosses val="autoZero"/>
        <c:auto val="1"/>
        <c:lblAlgn val="ctr"/>
        <c:lblOffset val="100"/>
        <c:noMultiLvlLbl val="0"/>
      </c:catAx>
      <c:valAx>
        <c:axId val="688966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88966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487680</xdr:colOff>
      <xdr:row>3</xdr:row>
      <xdr:rowOff>34290</xdr:rowOff>
    </xdr:from>
    <xdr:to>
      <xdr:col>2</xdr:col>
      <xdr:colOff>586740</xdr:colOff>
      <xdr:row>19</xdr:row>
      <xdr:rowOff>74295</xdr:rowOff>
    </xdr:to>
    <xdr:sp macro="" textlink="">
      <xdr:nvSpPr>
        <xdr:cNvPr id="2" name="Rechteck 1">
          <a:extLst>
            <a:ext uri="{FF2B5EF4-FFF2-40B4-BE49-F238E27FC236}">
              <a16:creationId xmlns:a16="http://schemas.microsoft.com/office/drawing/2014/main" id="{82493139-C01C-82B5-9F98-5629E5B36B01}"/>
            </a:ext>
          </a:extLst>
        </xdr:cNvPr>
        <xdr:cNvSpPr/>
      </xdr:nvSpPr>
      <xdr:spPr>
        <a:xfrm>
          <a:off x="487680" y="577215"/>
          <a:ext cx="1794510" cy="293560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H2 Produktion</a:t>
          </a:r>
        </a:p>
        <a:p>
          <a:pPr algn="l"/>
          <a:r>
            <a:rPr lang="de-DE" sz="1100"/>
            <a:t>-PEM Elektrolyse</a:t>
          </a:r>
        </a:p>
        <a:p>
          <a:pPr algn="l"/>
          <a:r>
            <a:rPr lang="de-DE" sz="1100"/>
            <a:t>-Alkalische</a:t>
          </a:r>
          <a:r>
            <a:rPr lang="de-DE" sz="1100" baseline="0"/>
            <a:t> Elektrolyse</a:t>
          </a:r>
        </a:p>
        <a:p>
          <a:pPr algn="l"/>
          <a:r>
            <a:rPr lang="de-DE" sz="1100" baseline="0"/>
            <a:t>-Pyrolyse</a:t>
          </a:r>
        </a:p>
        <a:p>
          <a:pPr algn="l"/>
          <a:r>
            <a:rPr lang="de-DE" sz="1100" baseline="0"/>
            <a:t>-Methanreformierung+CCS</a:t>
          </a:r>
        </a:p>
        <a:p>
          <a:pPr algn="l"/>
          <a:r>
            <a:rPr lang="de-DE" sz="1100" baseline="0"/>
            <a:t>-Kohlereformierung+CCS</a:t>
          </a:r>
        </a:p>
        <a:p>
          <a:pPr algn="l"/>
          <a:r>
            <a:rPr lang="de-DE" sz="1100" baseline="0"/>
            <a:t>-(Solare H2 Erzeugung)</a:t>
          </a:r>
        </a:p>
        <a:p>
          <a:pPr algn="l"/>
          <a:endParaRPr lang="de-DE" sz="1100"/>
        </a:p>
      </xdr:txBody>
    </xdr:sp>
    <xdr:clientData/>
  </xdr:twoCellAnchor>
  <xdr:twoCellAnchor>
    <xdr:from>
      <xdr:col>2</xdr:col>
      <xdr:colOff>741045</xdr:colOff>
      <xdr:row>3</xdr:row>
      <xdr:rowOff>28575</xdr:rowOff>
    </xdr:from>
    <xdr:to>
      <xdr:col>4</xdr:col>
      <xdr:colOff>483870</xdr:colOff>
      <xdr:row>19</xdr:row>
      <xdr:rowOff>36195</xdr:rowOff>
    </xdr:to>
    <xdr:sp macro="" textlink="">
      <xdr:nvSpPr>
        <xdr:cNvPr id="3" name="Rechteck 2">
          <a:extLst>
            <a:ext uri="{FF2B5EF4-FFF2-40B4-BE49-F238E27FC236}">
              <a16:creationId xmlns:a16="http://schemas.microsoft.com/office/drawing/2014/main" id="{89844186-3721-43AA-90A1-84C694A5CFC2}"/>
            </a:ext>
          </a:extLst>
        </xdr:cNvPr>
        <xdr:cNvSpPr/>
      </xdr:nvSpPr>
      <xdr:spPr>
        <a:xfrm>
          <a:off x="2436495" y="571500"/>
          <a:ext cx="1819275" cy="2903220"/>
        </a:xfrm>
        <a:prstGeom prst="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Produktionsstandort</a:t>
          </a:r>
        </a:p>
        <a:p>
          <a:pPr algn="l"/>
          <a:r>
            <a:rPr lang="de-DE" sz="1100"/>
            <a:t>-Lokal (Deutschland)</a:t>
          </a:r>
        </a:p>
        <a:p>
          <a:pPr algn="l"/>
          <a:r>
            <a:rPr lang="de-DE" sz="1100" baseline="0"/>
            <a:t>-Skandinavien</a:t>
          </a:r>
        </a:p>
        <a:p>
          <a:pPr algn="l"/>
          <a:r>
            <a:rPr lang="de-DE" sz="1100" baseline="0"/>
            <a:t>-Spanien</a:t>
          </a:r>
        </a:p>
        <a:p>
          <a:pPr algn="l"/>
          <a:r>
            <a:rPr lang="de-DE" sz="1100" baseline="0"/>
            <a:t>-Nordafrika</a:t>
          </a:r>
        </a:p>
        <a:p>
          <a:pPr algn="l"/>
          <a:r>
            <a:rPr lang="de-DE" sz="1100" baseline="0"/>
            <a:t>-Westafrika</a:t>
          </a:r>
        </a:p>
        <a:p>
          <a:pPr algn="l"/>
          <a:r>
            <a:rPr lang="de-DE" sz="1100" baseline="0"/>
            <a:t>-Naher Osten</a:t>
          </a:r>
        </a:p>
        <a:p>
          <a:pPr algn="l"/>
          <a:r>
            <a:rPr lang="de-DE" sz="1100" baseline="0"/>
            <a:t>-Südostasien</a:t>
          </a:r>
        </a:p>
        <a:p>
          <a:pPr algn="l"/>
          <a:r>
            <a:rPr lang="de-DE" sz="1100" baseline="0"/>
            <a:t>-Australien</a:t>
          </a:r>
        </a:p>
        <a:p>
          <a:pPr algn="l"/>
          <a:endParaRPr lang="de-DE" sz="1100" baseline="0"/>
        </a:p>
        <a:p>
          <a:pPr algn="l"/>
          <a:endParaRPr lang="de-DE" sz="1100"/>
        </a:p>
      </xdr:txBody>
    </xdr:sp>
    <xdr:clientData/>
  </xdr:twoCellAnchor>
  <xdr:twoCellAnchor>
    <xdr:from>
      <xdr:col>4</xdr:col>
      <xdr:colOff>643890</xdr:colOff>
      <xdr:row>3</xdr:row>
      <xdr:rowOff>24765</xdr:rowOff>
    </xdr:from>
    <xdr:to>
      <xdr:col>6</xdr:col>
      <xdr:colOff>672465</xdr:colOff>
      <xdr:row>19</xdr:row>
      <xdr:rowOff>36195</xdr:rowOff>
    </xdr:to>
    <xdr:sp macro="" textlink="">
      <xdr:nvSpPr>
        <xdr:cNvPr id="4" name="Rechteck 3">
          <a:extLst>
            <a:ext uri="{FF2B5EF4-FFF2-40B4-BE49-F238E27FC236}">
              <a16:creationId xmlns:a16="http://schemas.microsoft.com/office/drawing/2014/main" id="{B608E64E-3F10-40A8-B284-58D416B7C643}"/>
            </a:ext>
          </a:extLst>
        </xdr:cNvPr>
        <xdr:cNvSpPr/>
      </xdr:nvSpPr>
      <xdr:spPr>
        <a:xfrm>
          <a:off x="4415790" y="567690"/>
          <a:ext cx="1819275" cy="2907030"/>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Transport</a:t>
          </a:r>
        </a:p>
        <a:p>
          <a:pPr algn="l"/>
          <a:r>
            <a:rPr lang="de-DE" sz="1100"/>
            <a:t>-Schiff</a:t>
          </a:r>
          <a:r>
            <a:rPr lang="de-DE" sz="1100" baseline="0"/>
            <a:t> (flüssig)</a:t>
          </a:r>
        </a:p>
        <a:p>
          <a:pPr algn="l"/>
          <a:r>
            <a:rPr lang="de-DE" sz="1100" baseline="0"/>
            <a:t>-Schiff (gasförmig)</a:t>
          </a:r>
        </a:p>
        <a:p>
          <a:pPr algn="l"/>
          <a:r>
            <a:rPr lang="de-DE" sz="1100" baseline="0"/>
            <a:t>-Schiff (LOHC)</a:t>
          </a:r>
        </a:p>
        <a:p>
          <a:pPr algn="l"/>
          <a:r>
            <a:rPr lang="de-DE" sz="1100" baseline="0"/>
            <a:t>-Pipeline</a:t>
          </a:r>
        </a:p>
        <a:p>
          <a:pPr algn="l"/>
          <a:r>
            <a:rPr lang="de-DE" sz="1100" baseline="0"/>
            <a:t>-Straßentransport (flüssig, gasförmig oder LOHC)</a:t>
          </a:r>
        </a:p>
        <a:p>
          <a:pPr algn="l"/>
          <a:endParaRPr lang="de-DE" sz="1100" baseline="0"/>
        </a:p>
        <a:p>
          <a:pPr algn="l"/>
          <a:endParaRPr lang="de-DE" sz="1100"/>
        </a:p>
      </xdr:txBody>
    </xdr:sp>
    <xdr:clientData/>
  </xdr:twoCellAnchor>
  <xdr:twoCellAnchor>
    <xdr:from>
      <xdr:col>7</xdr:col>
      <xdr:colOff>9525</xdr:colOff>
      <xdr:row>3</xdr:row>
      <xdr:rowOff>34290</xdr:rowOff>
    </xdr:from>
    <xdr:to>
      <xdr:col>9</xdr:col>
      <xdr:colOff>224790</xdr:colOff>
      <xdr:row>19</xdr:row>
      <xdr:rowOff>74295</xdr:rowOff>
    </xdr:to>
    <xdr:sp macro="" textlink="">
      <xdr:nvSpPr>
        <xdr:cNvPr id="5" name="Rechteck 4">
          <a:extLst>
            <a:ext uri="{FF2B5EF4-FFF2-40B4-BE49-F238E27FC236}">
              <a16:creationId xmlns:a16="http://schemas.microsoft.com/office/drawing/2014/main" id="{7FF1E2A9-1427-4D54-9CDF-83793C82A2A7}"/>
            </a:ext>
          </a:extLst>
        </xdr:cNvPr>
        <xdr:cNvSpPr/>
      </xdr:nvSpPr>
      <xdr:spPr>
        <a:xfrm>
          <a:off x="6362700" y="577215"/>
          <a:ext cx="1796415" cy="2935605"/>
        </a:xfrm>
        <a:prstGeom prst="rect">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Preise</a:t>
          </a:r>
        </a:p>
        <a:p>
          <a:pPr algn="l"/>
          <a:r>
            <a:rPr lang="de-DE" sz="1100" baseline="0"/>
            <a:t>Strompreis (DE)</a:t>
          </a:r>
        </a:p>
        <a:p>
          <a:pPr algn="l"/>
          <a:r>
            <a:rPr lang="de-DE" sz="1100" baseline="0"/>
            <a:t>Strompreis (Importland)</a:t>
          </a:r>
        </a:p>
        <a:p>
          <a:pPr algn="l"/>
          <a:r>
            <a:rPr lang="de-DE" sz="1100" baseline="0"/>
            <a:t>Schiffsantrieb?</a:t>
          </a:r>
        </a:p>
        <a:p>
          <a:pPr algn="l"/>
          <a:r>
            <a:rPr lang="de-DE" sz="1100" baseline="0"/>
            <a:t>CO2 Preis</a:t>
          </a:r>
        </a:p>
        <a:p>
          <a:pPr algn="l"/>
          <a:endParaRPr lang="de-DE" sz="1100" baseline="0"/>
        </a:p>
        <a:p>
          <a:pPr algn="l"/>
          <a:endParaRPr lang="de-DE" sz="1100"/>
        </a:p>
      </xdr:txBody>
    </xdr:sp>
    <xdr:clientData/>
  </xdr:twoCellAnchor>
  <xdr:twoCellAnchor>
    <xdr:from>
      <xdr:col>9</xdr:col>
      <xdr:colOff>382905</xdr:colOff>
      <xdr:row>3</xdr:row>
      <xdr:rowOff>26670</xdr:rowOff>
    </xdr:from>
    <xdr:to>
      <xdr:col>11</xdr:col>
      <xdr:colOff>636270</xdr:colOff>
      <xdr:row>19</xdr:row>
      <xdr:rowOff>31815</xdr:rowOff>
    </xdr:to>
    <xdr:sp macro="" textlink="">
      <xdr:nvSpPr>
        <xdr:cNvPr id="6" name="Rechteck 5">
          <a:extLst>
            <a:ext uri="{FF2B5EF4-FFF2-40B4-BE49-F238E27FC236}">
              <a16:creationId xmlns:a16="http://schemas.microsoft.com/office/drawing/2014/main" id="{2395F007-1B75-4901-A6DC-6862A57B59C1}"/>
            </a:ext>
          </a:extLst>
        </xdr:cNvPr>
        <xdr:cNvSpPr/>
      </xdr:nvSpPr>
      <xdr:spPr>
        <a:xfrm>
          <a:off x="8317230" y="569595"/>
          <a:ext cx="1834515" cy="2900745"/>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baseline="0"/>
            <a:t>Sensitivitäts Analyse</a:t>
          </a:r>
        </a:p>
        <a:p>
          <a:pPr algn="l"/>
          <a:r>
            <a:rPr lang="de-DE" sz="1100" baseline="0"/>
            <a:t>Strommix</a:t>
          </a:r>
        </a:p>
        <a:p>
          <a:pPr algn="l"/>
          <a:r>
            <a:rPr lang="de-DE" sz="1100" baseline="0"/>
            <a:t>-Lokaler Strommix</a:t>
          </a:r>
        </a:p>
        <a:p>
          <a:pPr algn="l"/>
          <a:r>
            <a:rPr lang="de-DE" sz="1100" baseline="0"/>
            <a:t>-Erneuerbar Fokus PV</a:t>
          </a:r>
        </a:p>
        <a:p>
          <a:pPr algn="l"/>
          <a:r>
            <a:rPr lang="de-DE" sz="1100" baseline="0"/>
            <a:t>-Erneuerbar Fokus Wind</a:t>
          </a:r>
        </a:p>
        <a:p>
          <a:pPr algn="l"/>
          <a:r>
            <a:rPr lang="de-DE" sz="1100" baseline="0"/>
            <a:t>Wirkungsgrade</a:t>
          </a:r>
        </a:p>
        <a:p>
          <a:pPr algn="l"/>
          <a:r>
            <a:rPr lang="de-DE" sz="1100" baseline="0"/>
            <a:t>-Stand der Technik</a:t>
          </a:r>
        </a:p>
        <a:p>
          <a:pPr algn="l"/>
          <a:r>
            <a:rPr lang="de-DE" sz="1100" baseline="0"/>
            <a:t>-Verbessert</a:t>
          </a:r>
        </a:p>
        <a:p>
          <a:pPr algn="l"/>
          <a:r>
            <a:rPr lang="de-DE" sz="1100" baseline="0"/>
            <a:t>Auslastung H2 Produktion</a:t>
          </a:r>
        </a:p>
        <a:p>
          <a:pPr algn="l"/>
          <a:r>
            <a:rPr lang="de-DE" sz="1100" baseline="0"/>
            <a:t>-Gering (200h Spitzenlast)</a:t>
          </a:r>
        </a:p>
        <a:p>
          <a:pPr algn="l"/>
          <a:r>
            <a:rPr lang="de-DE" sz="1100" baseline="0"/>
            <a:t>-Mittel</a:t>
          </a:r>
        </a:p>
        <a:p>
          <a:pPr algn="l"/>
          <a:r>
            <a:rPr lang="de-DE" sz="1100" baseline="0"/>
            <a:t>-Hoch (Kontinuierlich)</a:t>
          </a:r>
        </a:p>
        <a:p>
          <a:pPr algn="l"/>
          <a:endParaRPr lang="de-DE" sz="1100" baseline="0"/>
        </a:p>
        <a:p>
          <a:pPr algn="l"/>
          <a:endParaRPr lang="de-DE" sz="1100"/>
        </a:p>
      </xdr:txBody>
    </xdr:sp>
    <xdr:clientData/>
  </xdr:twoCellAnchor>
  <xdr:twoCellAnchor>
    <xdr:from>
      <xdr:col>7</xdr:col>
      <xdr:colOff>262890</xdr:colOff>
      <xdr:row>15</xdr:row>
      <xdr:rowOff>76201</xdr:rowOff>
    </xdr:from>
    <xdr:to>
      <xdr:col>8</xdr:col>
      <xdr:colOff>744855</xdr:colOff>
      <xdr:row>19</xdr:row>
      <xdr:rowOff>1905</xdr:rowOff>
    </xdr:to>
    <xdr:sp macro="" textlink="">
      <xdr:nvSpPr>
        <xdr:cNvPr id="7" name="Rechteck 6">
          <a:extLst>
            <a:ext uri="{FF2B5EF4-FFF2-40B4-BE49-F238E27FC236}">
              <a16:creationId xmlns:a16="http://schemas.microsoft.com/office/drawing/2014/main" id="{1A0CC413-E55D-494E-B8B0-E4FE5A6DF51F}"/>
            </a:ext>
          </a:extLst>
        </xdr:cNvPr>
        <xdr:cNvSpPr/>
      </xdr:nvSpPr>
      <xdr:spPr>
        <a:xfrm>
          <a:off x="6616065" y="2790826"/>
          <a:ext cx="1272540" cy="649604"/>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Default</a:t>
          </a:r>
          <a:r>
            <a:rPr lang="de-DE" sz="1100" b="1" baseline="0"/>
            <a:t> Button</a:t>
          </a:r>
          <a:br>
            <a:rPr lang="de-DE" sz="1100" baseline="0"/>
          </a:br>
          <a:r>
            <a:rPr lang="de-DE" sz="1100" baseline="0"/>
            <a:t>(Zurück zu Standardwerten)</a:t>
          </a:r>
          <a:endParaRPr lang="de-DE" sz="1100"/>
        </a:p>
      </xdr:txBody>
    </xdr:sp>
    <xdr:clientData/>
  </xdr:twoCellAnchor>
  <xdr:twoCellAnchor>
    <xdr:from>
      <xdr:col>9</xdr:col>
      <xdr:colOff>704850</xdr:colOff>
      <xdr:row>15</xdr:row>
      <xdr:rowOff>66676</xdr:rowOff>
    </xdr:from>
    <xdr:to>
      <xdr:col>11</xdr:col>
      <xdr:colOff>411480</xdr:colOff>
      <xdr:row>18</xdr:row>
      <xdr:rowOff>163830</xdr:rowOff>
    </xdr:to>
    <xdr:sp macro="" textlink="">
      <xdr:nvSpPr>
        <xdr:cNvPr id="8" name="Rechteck 7">
          <a:extLst>
            <a:ext uri="{FF2B5EF4-FFF2-40B4-BE49-F238E27FC236}">
              <a16:creationId xmlns:a16="http://schemas.microsoft.com/office/drawing/2014/main" id="{EDC323C9-A588-4760-90C3-B6CC3377D0D0}"/>
            </a:ext>
          </a:extLst>
        </xdr:cNvPr>
        <xdr:cNvSpPr/>
      </xdr:nvSpPr>
      <xdr:spPr>
        <a:xfrm>
          <a:off x="8639175" y="2781301"/>
          <a:ext cx="1287780" cy="640079"/>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Default</a:t>
          </a:r>
          <a:r>
            <a:rPr lang="de-DE" sz="1100" b="1" baseline="0"/>
            <a:t> Button</a:t>
          </a:r>
          <a:br>
            <a:rPr lang="de-DE" sz="1100" baseline="0"/>
          </a:br>
          <a:r>
            <a:rPr lang="de-DE" sz="1100" baseline="0"/>
            <a:t>(Zurück zu Standardwerten)</a:t>
          </a:r>
          <a:endParaRPr lang="de-DE" sz="1100"/>
        </a:p>
      </xdr:txBody>
    </xdr:sp>
    <xdr:clientData/>
  </xdr:twoCellAnchor>
  <xdr:twoCellAnchor>
    <xdr:from>
      <xdr:col>0</xdr:col>
      <xdr:colOff>487680</xdr:colOff>
      <xdr:row>1</xdr:row>
      <xdr:rowOff>74295</xdr:rowOff>
    </xdr:from>
    <xdr:to>
      <xdr:col>11</xdr:col>
      <xdr:colOff>601980</xdr:colOff>
      <xdr:row>2</xdr:row>
      <xdr:rowOff>121920</xdr:rowOff>
    </xdr:to>
    <xdr:sp macro="" textlink="">
      <xdr:nvSpPr>
        <xdr:cNvPr id="9" name="Rechteck 8">
          <a:extLst>
            <a:ext uri="{FF2B5EF4-FFF2-40B4-BE49-F238E27FC236}">
              <a16:creationId xmlns:a16="http://schemas.microsoft.com/office/drawing/2014/main" id="{6A26E66A-D85F-4F19-86F4-89FAC7218393}"/>
            </a:ext>
          </a:extLst>
        </xdr:cNvPr>
        <xdr:cNvSpPr/>
      </xdr:nvSpPr>
      <xdr:spPr>
        <a:xfrm>
          <a:off x="487680" y="255270"/>
          <a:ext cx="9629775" cy="22860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b="1"/>
            <a:t>Eingabe</a:t>
          </a:r>
          <a:r>
            <a:rPr lang="de-DE" sz="1100" b="1" baseline="0"/>
            <a:t> aus User Sicht</a:t>
          </a:r>
          <a:endParaRPr lang="de-DE" sz="1100" b="1"/>
        </a:p>
      </xdr:txBody>
    </xdr:sp>
    <xdr:clientData/>
  </xdr:twoCellAnchor>
  <xdr:twoCellAnchor>
    <xdr:from>
      <xdr:col>0</xdr:col>
      <xdr:colOff>396241</xdr:colOff>
      <xdr:row>23</xdr:row>
      <xdr:rowOff>63817</xdr:rowOff>
    </xdr:from>
    <xdr:to>
      <xdr:col>3</xdr:col>
      <xdr:colOff>255270</xdr:colOff>
      <xdr:row>38</xdr:row>
      <xdr:rowOff>95250</xdr:rowOff>
    </xdr:to>
    <xdr:graphicFrame macro="">
      <xdr:nvGraphicFramePr>
        <xdr:cNvPr id="11" name="Diagramm 10">
          <a:extLst>
            <a:ext uri="{FF2B5EF4-FFF2-40B4-BE49-F238E27FC236}">
              <a16:creationId xmlns:a16="http://schemas.microsoft.com/office/drawing/2014/main" id="{4FE55198-0494-5644-70C6-31184020CD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23</xdr:row>
      <xdr:rowOff>54292</xdr:rowOff>
    </xdr:from>
    <xdr:to>
      <xdr:col>6</xdr:col>
      <xdr:colOff>19050</xdr:colOff>
      <xdr:row>38</xdr:row>
      <xdr:rowOff>95250</xdr:rowOff>
    </xdr:to>
    <xdr:graphicFrame macro="">
      <xdr:nvGraphicFramePr>
        <xdr:cNvPr id="12" name="Diagramm 11">
          <a:extLst>
            <a:ext uri="{FF2B5EF4-FFF2-40B4-BE49-F238E27FC236}">
              <a16:creationId xmlns:a16="http://schemas.microsoft.com/office/drawing/2014/main" id="{901E0838-B168-7661-177D-A3B104392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211456</xdr:colOff>
      <xdr:row>23</xdr:row>
      <xdr:rowOff>50482</xdr:rowOff>
    </xdr:from>
    <xdr:to>
      <xdr:col>9</xdr:col>
      <xdr:colOff>190501</xdr:colOff>
      <xdr:row>38</xdr:row>
      <xdr:rowOff>86677</xdr:rowOff>
    </xdr:to>
    <xdr:graphicFrame macro="">
      <xdr:nvGraphicFramePr>
        <xdr:cNvPr id="13" name="Diagramm 12">
          <a:extLst>
            <a:ext uri="{FF2B5EF4-FFF2-40B4-BE49-F238E27FC236}">
              <a16:creationId xmlns:a16="http://schemas.microsoft.com/office/drawing/2014/main" id="{0591B498-55F7-DD6C-D802-EBADA0133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325756</xdr:colOff>
      <xdr:row>23</xdr:row>
      <xdr:rowOff>54292</xdr:rowOff>
    </xdr:from>
    <xdr:to>
      <xdr:col>12</xdr:col>
      <xdr:colOff>295275</xdr:colOff>
      <xdr:row>38</xdr:row>
      <xdr:rowOff>98107</xdr:rowOff>
    </xdr:to>
    <xdr:graphicFrame macro="">
      <xdr:nvGraphicFramePr>
        <xdr:cNvPr id="14" name="Diagramm 13">
          <a:extLst>
            <a:ext uri="{FF2B5EF4-FFF2-40B4-BE49-F238E27FC236}">
              <a16:creationId xmlns:a16="http://schemas.microsoft.com/office/drawing/2014/main" id="{B1B788EE-671A-EE18-EF2B-CE135C113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438150</xdr:colOff>
      <xdr:row>21</xdr:row>
      <xdr:rowOff>55245</xdr:rowOff>
    </xdr:from>
    <xdr:to>
      <xdr:col>11</xdr:col>
      <xdr:colOff>552450</xdr:colOff>
      <xdr:row>22</xdr:row>
      <xdr:rowOff>106680</xdr:rowOff>
    </xdr:to>
    <xdr:sp macro="" textlink="">
      <xdr:nvSpPr>
        <xdr:cNvPr id="15" name="Rechteck 14">
          <a:extLst>
            <a:ext uri="{FF2B5EF4-FFF2-40B4-BE49-F238E27FC236}">
              <a16:creationId xmlns:a16="http://schemas.microsoft.com/office/drawing/2014/main" id="{C43B5563-70D2-44CD-B0E2-6280A1B8CB77}"/>
            </a:ext>
          </a:extLst>
        </xdr:cNvPr>
        <xdr:cNvSpPr/>
      </xdr:nvSpPr>
      <xdr:spPr>
        <a:xfrm>
          <a:off x="438150" y="3855720"/>
          <a:ext cx="9629775" cy="232410"/>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b="1"/>
            <a:t>Ergebnisse</a:t>
          </a:r>
          <a:r>
            <a:rPr lang="de-DE" sz="1100" b="1" baseline="0"/>
            <a:t> aus User Sicht</a:t>
          </a:r>
          <a:endParaRPr lang="de-DE" sz="1100" b="1"/>
        </a:p>
      </xdr:txBody>
    </xdr:sp>
    <xdr:clientData/>
  </xdr:twoCellAnchor>
  <xdr:twoCellAnchor>
    <xdr:from>
      <xdr:col>12</xdr:col>
      <xdr:colOff>15239</xdr:colOff>
      <xdr:row>3</xdr:row>
      <xdr:rowOff>24766</xdr:rowOff>
    </xdr:from>
    <xdr:to>
      <xdr:col>14</xdr:col>
      <xdr:colOff>371474</xdr:colOff>
      <xdr:row>8</xdr:row>
      <xdr:rowOff>140970</xdr:rowOff>
    </xdr:to>
    <xdr:sp macro="" textlink="">
      <xdr:nvSpPr>
        <xdr:cNvPr id="16" name="Rechteck 15">
          <a:extLst>
            <a:ext uri="{FF2B5EF4-FFF2-40B4-BE49-F238E27FC236}">
              <a16:creationId xmlns:a16="http://schemas.microsoft.com/office/drawing/2014/main" id="{5A0E3318-1176-48C8-9358-2BD596BCAE75}"/>
            </a:ext>
          </a:extLst>
        </xdr:cNvPr>
        <xdr:cNvSpPr/>
      </xdr:nvSpPr>
      <xdr:spPr>
        <a:xfrm>
          <a:off x="10321289" y="567691"/>
          <a:ext cx="1937385" cy="1021079"/>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de-DE" sz="1100" b="1" baseline="0">
              <a:solidFill>
                <a:schemeClr val="lt1"/>
              </a:solidFill>
              <a:latin typeface="+mn-lt"/>
              <a:ea typeface="+mn-ea"/>
              <a:cs typeface="+mn-cs"/>
            </a:rPr>
            <a:t>Evtl anderer Name als Sensitivitätsanalyse</a:t>
          </a:r>
        </a:p>
        <a:p>
          <a:pPr marL="0" indent="0" algn="l"/>
          <a:endParaRPr lang="de-DE" sz="1100" b="1" baseline="0">
            <a:solidFill>
              <a:schemeClr val="lt1"/>
            </a:solidFill>
            <a:latin typeface="+mn-lt"/>
            <a:ea typeface="+mn-ea"/>
            <a:cs typeface="+mn-cs"/>
          </a:endParaRPr>
        </a:p>
        <a:p>
          <a:pPr marL="0" indent="0" algn="l"/>
          <a:r>
            <a:rPr lang="de-DE" sz="1100" b="1" baseline="0">
              <a:solidFill>
                <a:schemeClr val="lt1"/>
              </a:solidFill>
              <a:latin typeface="+mn-lt"/>
              <a:ea typeface="+mn-ea"/>
              <a:cs typeface="+mn-cs"/>
            </a:rPr>
            <a:t>Parametereinstellungen</a:t>
          </a:r>
        </a:p>
      </xdr:txBody>
    </xdr:sp>
    <xdr:clientData/>
  </xdr:twoCellAnchor>
  <xdr:twoCellAnchor>
    <xdr:from>
      <xdr:col>13</xdr:col>
      <xdr:colOff>34290</xdr:colOff>
      <xdr:row>27</xdr:row>
      <xdr:rowOff>40005</xdr:rowOff>
    </xdr:from>
    <xdr:to>
      <xdr:col>15</xdr:col>
      <xdr:colOff>142875</xdr:colOff>
      <xdr:row>33</xdr:row>
      <xdr:rowOff>87629</xdr:rowOff>
    </xdr:to>
    <xdr:sp macro="" textlink="">
      <xdr:nvSpPr>
        <xdr:cNvPr id="17" name="Rechteck 16">
          <a:extLst>
            <a:ext uri="{FF2B5EF4-FFF2-40B4-BE49-F238E27FC236}">
              <a16:creationId xmlns:a16="http://schemas.microsoft.com/office/drawing/2014/main" id="{A504FE7E-FCE0-4B73-887D-9FF2063801BF}"/>
            </a:ext>
          </a:extLst>
        </xdr:cNvPr>
        <xdr:cNvSpPr/>
      </xdr:nvSpPr>
      <xdr:spPr>
        <a:xfrm>
          <a:off x="11130915" y="4926330"/>
          <a:ext cx="1689735" cy="1133474"/>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Angaben</a:t>
          </a:r>
          <a:r>
            <a:rPr lang="de-DE" sz="1100" baseline="0"/>
            <a:t> nach Emittent nicht so einfach zu realisieren</a:t>
          </a:r>
          <a:endParaRPr lang="de-D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43815</xdr:colOff>
      <xdr:row>15</xdr:row>
      <xdr:rowOff>177165</xdr:rowOff>
    </xdr:from>
    <xdr:to>
      <xdr:col>15</xdr:col>
      <xdr:colOff>1295400</xdr:colOff>
      <xdr:row>22</xdr:row>
      <xdr:rowOff>112395</xdr:rowOff>
    </xdr:to>
    <xdr:sp macro="" textlink="">
      <xdr:nvSpPr>
        <xdr:cNvPr id="2" name="Rechteck 1">
          <a:extLst>
            <a:ext uri="{FF2B5EF4-FFF2-40B4-BE49-F238E27FC236}">
              <a16:creationId xmlns:a16="http://schemas.microsoft.com/office/drawing/2014/main" id="{0947D8E7-60D0-41C1-B78B-F8D03ECEA92A}"/>
            </a:ext>
          </a:extLst>
        </xdr:cNvPr>
        <xdr:cNvSpPr/>
      </xdr:nvSpPr>
      <xdr:spPr>
        <a:xfrm>
          <a:off x="12626340" y="2891790"/>
          <a:ext cx="2042160" cy="84010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Diskussion über weitere Strommixe</a:t>
          </a:r>
          <a:r>
            <a:rPr lang="de-DE" sz="1100" baseline="0"/>
            <a:t> 2030 und Fokus Strommixe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12</xdr:col>
      <xdr:colOff>104775</xdr:colOff>
      <xdr:row>3</xdr:row>
      <xdr:rowOff>9524</xdr:rowOff>
    </xdr:from>
    <xdr:to>
      <xdr:col>17</xdr:col>
      <xdr:colOff>123825</xdr:colOff>
      <xdr:row>24</xdr:row>
      <xdr:rowOff>121920</xdr:rowOff>
    </xdr:to>
    <xdr:sp macro="" textlink="">
      <xdr:nvSpPr>
        <xdr:cNvPr id="2" name="Rechteck 1">
          <a:extLst>
            <a:ext uri="{FF2B5EF4-FFF2-40B4-BE49-F238E27FC236}">
              <a16:creationId xmlns:a16="http://schemas.microsoft.com/office/drawing/2014/main" id="{4D8D35E3-7B22-E8F2-E383-E329F5F3C518}"/>
            </a:ext>
          </a:extLst>
        </xdr:cNvPr>
        <xdr:cNvSpPr/>
      </xdr:nvSpPr>
      <xdr:spPr>
        <a:xfrm>
          <a:off x="9614535" y="558164"/>
          <a:ext cx="3981450" cy="39528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Daten aus Input_LCA_TESA</a:t>
          </a:r>
          <a:r>
            <a:rPr lang="de-DE" sz="1100" baseline="0"/>
            <a:t> übernommen</a:t>
          </a:r>
        </a:p>
        <a:p>
          <a:pPr algn="l"/>
          <a:endParaRPr lang="de-DE" sz="1100" baseline="0"/>
        </a:p>
        <a:p>
          <a:pPr algn="l"/>
          <a:r>
            <a:rPr lang="de-DE" sz="1100" baseline="0"/>
            <a:t>GWP für Erdgas und PV ggf. etwas geringer</a:t>
          </a:r>
        </a:p>
        <a:p>
          <a:pPr algn="l"/>
          <a:endParaRPr lang="de-DE" sz="1100" baseline="0"/>
        </a:p>
        <a:p>
          <a:pPr algn="l"/>
          <a:r>
            <a:rPr lang="de-DE" sz="1100" baseline="0"/>
            <a:t>Erdgas: CO2 Emssion = 0.218 kg CO2/ kWh Primärenergie (unterer Heizwert)</a:t>
          </a:r>
          <a:br>
            <a:rPr lang="de-DE" sz="1100" baseline="0"/>
          </a:br>
          <a:r>
            <a:rPr lang="de-DE" sz="1100" baseline="0"/>
            <a:t>-&gt; Aktuell durchschn. Wirkungsgrad von 28.5% für alle Gaskraftwerke angenommen. Allerdings viel KWK und GuD, sodass 50-60% ggf. angemessener sind. Schwierig genaue Quellen zu finden</a:t>
          </a:r>
        </a:p>
        <a:p>
          <a:pPr algn="l"/>
          <a:endParaRPr lang="de-DE" sz="1100" baseline="0"/>
        </a:p>
        <a:p>
          <a:pPr algn="l"/>
          <a:r>
            <a:rPr lang="de-DE" sz="1100" baseline="0"/>
            <a:t>PV: Wiki: 41-48 g CO2/ kWh, weitere Quellen mit ca. 50 g CO2/ kWh (https://www.wegatech.de/ratgeber/photovoltaik/grundlagen/co2-bilanz-photovoltaik/), OPenLCA mit 78 g CO2 bei RoW, Analyse DE TBD</a:t>
          </a:r>
        </a:p>
        <a:p>
          <a:pPr algn="l"/>
          <a:endParaRPr lang="de-DE" sz="1100" baseline="0"/>
        </a:p>
        <a:p>
          <a:pPr algn="l"/>
          <a:r>
            <a:rPr lang="de-DE" sz="1100" baseline="0"/>
            <a:t>Wind und Solar GWP mit Abschätzung der Vollaststuden in jeweiligen Ländern im Vergleich zu DE angepasst. </a:t>
          </a:r>
        </a:p>
        <a:p>
          <a:pPr algn="l"/>
          <a:endParaRPr lang="de-D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892175</xdr:colOff>
      <xdr:row>15</xdr:row>
      <xdr:rowOff>136525</xdr:rowOff>
    </xdr:from>
    <xdr:to>
      <xdr:col>10</xdr:col>
      <xdr:colOff>568325</xdr:colOff>
      <xdr:row>26</xdr:row>
      <xdr:rowOff>146050</xdr:rowOff>
    </xdr:to>
    <xdr:sp macro="" textlink="">
      <xdr:nvSpPr>
        <xdr:cNvPr id="2" name="Rechteck 1">
          <a:extLst>
            <a:ext uri="{FF2B5EF4-FFF2-40B4-BE49-F238E27FC236}">
              <a16:creationId xmlns:a16="http://schemas.microsoft.com/office/drawing/2014/main" id="{761E9402-58D3-5FAD-FE05-4AAEEFEC1B5F}"/>
            </a:ext>
          </a:extLst>
        </xdr:cNvPr>
        <xdr:cNvSpPr/>
      </xdr:nvSpPr>
      <xdr:spPr>
        <a:xfrm>
          <a:off x="5749925" y="2898775"/>
          <a:ext cx="3790950" cy="2035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Grün</a:t>
          </a:r>
          <a:r>
            <a:rPr lang="de-DE" sz="1100" baseline="0"/>
            <a:t> unterlegt -&gt; Daten mit Quellen, der Rest allgemeine Annahmen</a:t>
          </a:r>
        </a:p>
        <a:p>
          <a:pPr algn="l"/>
          <a:endParaRPr lang="de-DE"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693420</xdr:colOff>
      <xdr:row>4</xdr:row>
      <xdr:rowOff>76200</xdr:rowOff>
    </xdr:from>
    <xdr:to>
      <xdr:col>12</xdr:col>
      <xdr:colOff>137160</xdr:colOff>
      <xdr:row>9</xdr:row>
      <xdr:rowOff>167640</xdr:rowOff>
    </xdr:to>
    <xdr:sp macro="" textlink="">
      <xdr:nvSpPr>
        <xdr:cNvPr id="2" name="Rechteck 1">
          <a:extLst>
            <a:ext uri="{FF2B5EF4-FFF2-40B4-BE49-F238E27FC236}">
              <a16:creationId xmlns:a16="http://schemas.microsoft.com/office/drawing/2014/main" id="{BA877B1D-F953-424B-DCA1-7E84085BE740}"/>
            </a:ext>
          </a:extLst>
        </xdr:cNvPr>
        <xdr:cNvSpPr/>
      </xdr:nvSpPr>
      <xdr:spPr>
        <a:xfrm>
          <a:off x="10629900" y="807720"/>
          <a:ext cx="2613660" cy="1005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Analyse für</a:t>
          </a:r>
          <a:r>
            <a:rPr lang="de-DE" sz="1100" baseline="0"/>
            <a:t> andere Länder außer DE TBD, da bisher Daten für RoW</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9</xdr:col>
      <xdr:colOff>792480</xdr:colOff>
      <xdr:row>22</xdr:row>
      <xdr:rowOff>72390</xdr:rowOff>
    </xdr:from>
    <xdr:to>
      <xdr:col>12</xdr:col>
      <xdr:colOff>114300</xdr:colOff>
      <xdr:row>28</xdr:row>
      <xdr:rowOff>171450</xdr:rowOff>
    </xdr:to>
    <xdr:sp macro="" textlink="">
      <xdr:nvSpPr>
        <xdr:cNvPr id="2" name="Rechteck 1">
          <a:extLst>
            <a:ext uri="{FF2B5EF4-FFF2-40B4-BE49-F238E27FC236}">
              <a16:creationId xmlns:a16="http://schemas.microsoft.com/office/drawing/2014/main" id="{A23CC22A-7D78-03DD-E823-AE6C8FCBBD9B}"/>
            </a:ext>
          </a:extLst>
        </xdr:cNvPr>
        <xdr:cNvSpPr/>
      </xdr:nvSpPr>
      <xdr:spPr>
        <a:xfrm>
          <a:off x="13308330" y="4053840"/>
          <a:ext cx="3931920" cy="11849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Liquifaction plant könnte</a:t>
          </a:r>
          <a:r>
            <a:rPr lang="de-DE" sz="1100" baseline="0"/>
            <a:t> auch mit elektrischer Leistung und Wirkungsgrad dargestellt werden, wo dann der Wirkungsgrad variabel eingestellt werden kann.</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1645920</xdr:colOff>
      <xdr:row>19</xdr:row>
      <xdr:rowOff>160020</xdr:rowOff>
    </xdr:from>
    <xdr:to>
      <xdr:col>1</xdr:col>
      <xdr:colOff>1598295</xdr:colOff>
      <xdr:row>27</xdr:row>
      <xdr:rowOff>140970</xdr:rowOff>
    </xdr:to>
    <xdr:sp macro="" textlink="">
      <xdr:nvSpPr>
        <xdr:cNvPr id="2" name="Rechteck 1">
          <a:extLst>
            <a:ext uri="{FF2B5EF4-FFF2-40B4-BE49-F238E27FC236}">
              <a16:creationId xmlns:a16="http://schemas.microsoft.com/office/drawing/2014/main" id="{22A1A441-8E4A-382B-6FBC-3DF5B13BFE8C}"/>
            </a:ext>
          </a:extLst>
        </xdr:cNvPr>
        <xdr:cNvSpPr/>
      </xdr:nvSpPr>
      <xdr:spPr>
        <a:xfrm>
          <a:off x="1645920" y="3634740"/>
          <a:ext cx="1864995" cy="14439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a:t>
          </a:r>
          <a:r>
            <a:rPr lang="de-DE" sz="1100" baseline="0"/>
            <a:t>t Mischform von Technik- und </a:t>
          </a:r>
          <a:r>
            <a:rPr lang="de-DE" sz="1100"/>
            <a:t> Interventionsmatrix dar. Es müssen</a:t>
          </a:r>
          <a:r>
            <a:rPr lang="de-DE" sz="1100" baseline="0"/>
            <a:t> vor Nutzung der Matrix noch Korrekturen (Bspw. Wirkungsgrad) vorgenommen werden</a:t>
          </a:r>
          <a:endParaRPr lang="de-DE" sz="1100"/>
        </a:p>
      </xdr:txBody>
    </xdr:sp>
    <xdr:clientData/>
  </xdr:twoCellAnchor>
  <xdr:twoCellAnchor editAs="oneCell">
    <xdr:from>
      <xdr:col>3</xdr:col>
      <xdr:colOff>1217295</xdr:colOff>
      <xdr:row>20</xdr:row>
      <xdr:rowOff>92452</xdr:rowOff>
    </xdr:from>
    <xdr:to>
      <xdr:col>8</xdr:col>
      <xdr:colOff>626462</xdr:colOff>
      <xdr:row>32</xdr:row>
      <xdr:rowOff>172014</xdr:rowOff>
    </xdr:to>
    <xdr:pic>
      <xdr:nvPicPr>
        <xdr:cNvPr id="3" name="Grafik 2">
          <a:extLst>
            <a:ext uri="{FF2B5EF4-FFF2-40B4-BE49-F238E27FC236}">
              <a16:creationId xmlns:a16="http://schemas.microsoft.com/office/drawing/2014/main" id="{DBAEF40D-597B-55AE-87D6-C86C9935EB8A}"/>
            </a:ext>
          </a:extLst>
        </xdr:cNvPr>
        <xdr:cNvPicPr>
          <a:picLocks noChangeAspect="1"/>
        </xdr:cNvPicPr>
      </xdr:nvPicPr>
      <xdr:blipFill>
        <a:blip xmlns:r="http://schemas.openxmlformats.org/officeDocument/2006/relationships" r:embed="rId1"/>
        <a:stretch>
          <a:fillRect/>
        </a:stretch>
      </xdr:blipFill>
      <xdr:spPr>
        <a:xfrm>
          <a:off x="5970270" y="3711952"/>
          <a:ext cx="6457667" cy="22417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1904999</xdr:colOff>
      <xdr:row>25</xdr:row>
      <xdr:rowOff>0</xdr:rowOff>
    </xdr:from>
    <xdr:to>
      <xdr:col>2</xdr:col>
      <xdr:colOff>1447799</xdr:colOff>
      <xdr:row>32</xdr:row>
      <xdr:rowOff>160020</xdr:rowOff>
    </xdr:to>
    <xdr:sp macro="" textlink="">
      <xdr:nvSpPr>
        <xdr:cNvPr id="2" name="Rechteck 1">
          <a:extLst>
            <a:ext uri="{FF2B5EF4-FFF2-40B4-BE49-F238E27FC236}">
              <a16:creationId xmlns:a16="http://schemas.microsoft.com/office/drawing/2014/main" id="{0AFB056A-24E2-4B1A-91D1-3BA0FDDEFB1B}"/>
            </a:ext>
          </a:extLst>
        </xdr:cNvPr>
        <xdr:cNvSpPr/>
      </xdr:nvSpPr>
      <xdr:spPr>
        <a:xfrm>
          <a:off x="1904999" y="4524375"/>
          <a:ext cx="2847975" cy="14268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stellt transponierte Charakterisierungsmatrix dar.</a:t>
          </a:r>
        </a:p>
        <a:p>
          <a:pPr algn="l"/>
          <a:r>
            <a:rPr lang="de-DE" sz="1100" baseline="0"/>
            <a:t>Mit entsprechender Spalte aus Matrix aus H2_Produktion_Input und Skalierungsfaktoren kann GWP der Inputfaktoren der H2 Produktion bestimmt werden</a:t>
          </a:r>
          <a:endParaRPr lang="de-DE" sz="1100"/>
        </a:p>
      </xdr:txBody>
    </xdr:sp>
    <xdr:clientData/>
  </xdr:twoCellAnchor>
  <xdr:twoCellAnchor editAs="oneCell">
    <xdr:from>
      <xdr:col>3</xdr:col>
      <xdr:colOff>781050</xdr:colOff>
      <xdr:row>20</xdr:row>
      <xdr:rowOff>152400</xdr:rowOff>
    </xdr:from>
    <xdr:to>
      <xdr:col>8</xdr:col>
      <xdr:colOff>517877</xdr:colOff>
      <xdr:row>33</xdr:row>
      <xdr:rowOff>37652</xdr:rowOff>
    </xdr:to>
    <xdr:pic>
      <xdr:nvPicPr>
        <xdr:cNvPr id="3" name="Grafik 2">
          <a:extLst>
            <a:ext uri="{FF2B5EF4-FFF2-40B4-BE49-F238E27FC236}">
              <a16:creationId xmlns:a16="http://schemas.microsoft.com/office/drawing/2014/main" id="{EA5785EF-D2F2-4805-882E-DEF14E5371DE}"/>
            </a:ext>
          </a:extLst>
        </xdr:cNvPr>
        <xdr:cNvPicPr>
          <a:picLocks noChangeAspect="1"/>
        </xdr:cNvPicPr>
      </xdr:nvPicPr>
      <xdr:blipFill>
        <a:blip xmlns:r="http://schemas.openxmlformats.org/officeDocument/2006/relationships" r:embed="rId1"/>
        <a:stretch>
          <a:fillRect/>
        </a:stretch>
      </xdr:blipFill>
      <xdr:spPr>
        <a:xfrm>
          <a:off x="6696075" y="3771900"/>
          <a:ext cx="6455762" cy="2237927"/>
        </a:xfrm>
        <a:prstGeom prst="rect">
          <a:avLst/>
        </a:prstGeom>
      </xdr:spPr>
    </xdr:pic>
    <xdr:clientData/>
  </xdr:twoCellAnchor>
  <xdr:twoCellAnchor editAs="oneCell">
    <xdr:from>
      <xdr:col>5</xdr:col>
      <xdr:colOff>693420</xdr:colOff>
      <xdr:row>11</xdr:row>
      <xdr:rowOff>150495</xdr:rowOff>
    </xdr:from>
    <xdr:to>
      <xdr:col>7</xdr:col>
      <xdr:colOff>2000651</xdr:colOff>
      <xdr:row>18</xdr:row>
      <xdr:rowOff>40166</xdr:rowOff>
    </xdr:to>
    <xdr:pic>
      <xdr:nvPicPr>
        <xdr:cNvPr id="4" name="Grafik 3">
          <a:extLst>
            <a:ext uri="{FF2B5EF4-FFF2-40B4-BE49-F238E27FC236}">
              <a16:creationId xmlns:a16="http://schemas.microsoft.com/office/drawing/2014/main" id="{03A1D88D-B066-1B26-4565-7B9CF9CF4A84}"/>
            </a:ext>
          </a:extLst>
        </xdr:cNvPr>
        <xdr:cNvPicPr>
          <a:picLocks noChangeAspect="1"/>
        </xdr:cNvPicPr>
      </xdr:nvPicPr>
      <xdr:blipFill>
        <a:blip xmlns:r="http://schemas.openxmlformats.org/officeDocument/2006/relationships" r:embed="rId2"/>
        <a:stretch>
          <a:fillRect/>
        </a:stretch>
      </xdr:blipFill>
      <xdr:spPr>
        <a:xfrm>
          <a:off x="9370695" y="2141220"/>
          <a:ext cx="2875046" cy="1156496"/>
        </a:xfrm>
        <a:prstGeom prst="rect">
          <a:avLst/>
        </a:prstGeom>
      </xdr:spPr>
    </xdr:pic>
    <xdr:clientData/>
  </xdr:twoCellAnchor>
  <xdr:twoCellAnchor>
    <xdr:from>
      <xdr:col>7</xdr:col>
      <xdr:colOff>2266949</xdr:colOff>
      <xdr:row>11</xdr:row>
      <xdr:rowOff>9525</xdr:rowOff>
    </xdr:from>
    <xdr:to>
      <xdr:col>11</xdr:col>
      <xdr:colOff>371474</xdr:colOff>
      <xdr:row>18</xdr:row>
      <xdr:rowOff>167640</xdr:rowOff>
    </xdr:to>
    <xdr:sp macro="" textlink="">
      <xdr:nvSpPr>
        <xdr:cNvPr id="5" name="Rechteck 4">
          <a:extLst>
            <a:ext uri="{FF2B5EF4-FFF2-40B4-BE49-F238E27FC236}">
              <a16:creationId xmlns:a16="http://schemas.microsoft.com/office/drawing/2014/main" id="{D9D63911-578F-45AC-BA53-41543ED70834}"/>
            </a:ext>
          </a:extLst>
        </xdr:cNvPr>
        <xdr:cNvSpPr/>
      </xdr:nvSpPr>
      <xdr:spPr>
        <a:xfrm>
          <a:off x="12525374" y="2000250"/>
          <a:ext cx="2847975" cy="1424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Für Kosten leicht andere Rechnung erforderlich, da Abzinsung</a:t>
          </a:r>
          <a:r>
            <a:rPr lang="de-DE" sz="1100" baseline="0"/>
            <a:t> für zukünftige Perioden vorgenommen werden muss (Relevant bei Fixkosten, bspw. PEM Elektrolyseur)</a:t>
          </a:r>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571500</xdr:colOff>
      <xdr:row>16</xdr:row>
      <xdr:rowOff>152400</xdr:rowOff>
    </xdr:from>
    <xdr:to>
      <xdr:col>9</xdr:col>
      <xdr:colOff>266417</xdr:colOff>
      <xdr:row>29</xdr:row>
      <xdr:rowOff>35747</xdr:rowOff>
    </xdr:to>
    <xdr:pic>
      <xdr:nvPicPr>
        <xdr:cNvPr id="2" name="Grafik 1">
          <a:extLst>
            <a:ext uri="{FF2B5EF4-FFF2-40B4-BE49-F238E27FC236}">
              <a16:creationId xmlns:a16="http://schemas.microsoft.com/office/drawing/2014/main" id="{A587D192-0C3C-4096-AE09-28720A1903B0}"/>
            </a:ext>
          </a:extLst>
        </xdr:cNvPr>
        <xdr:cNvPicPr>
          <a:picLocks noChangeAspect="1"/>
        </xdr:cNvPicPr>
      </xdr:nvPicPr>
      <xdr:blipFill>
        <a:blip xmlns:r="http://schemas.openxmlformats.org/officeDocument/2006/relationships" r:embed="rId1"/>
        <a:stretch>
          <a:fillRect/>
        </a:stretch>
      </xdr:blipFill>
      <xdr:spPr>
        <a:xfrm>
          <a:off x="5619750" y="3048000"/>
          <a:ext cx="6457667" cy="2236022"/>
        </a:xfrm>
        <a:prstGeom prst="rect">
          <a:avLst/>
        </a:prstGeom>
      </xdr:spPr>
    </xdr:pic>
    <xdr:clientData/>
  </xdr:twoCellAnchor>
  <xdr:twoCellAnchor>
    <xdr:from>
      <xdr:col>1</xdr:col>
      <xdr:colOff>335280</xdr:colOff>
      <xdr:row>15</xdr:row>
      <xdr:rowOff>137160</xdr:rowOff>
    </xdr:from>
    <xdr:to>
      <xdr:col>4</xdr:col>
      <xdr:colOff>7620</xdr:colOff>
      <xdr:row>25</xdr:row>
      <xdr:rowOff>81915</xdr:rowOff>
    </xdr:to>
    <xdr:sp macro="" textlink="">
      <xdr:nvSpPr>
        <xdr:cNvPr id="3" name="Rechteck 2">
          <a:extLst>
            <a:ext uri="{FF2B5EF4-FFF2-40B4-BE49-F238E27FC236}">
              <a16:creationId xmlns:a16="http://schemas.microsoft.com/office/drawing/2014/main" id="{44327127-8E6B-4379-9CC9-DD5CACC9649C}"/>
            </a:ext>
          </a:extLst>
        </xdr:cNvPr>
        <xdr:cNvSpPr/>
      </xdr:nvSpPr>
      <xdr:spPr>
        <a:xfrm>
          <a:off x="1417320" y="2880360"/>
          <a:ext cx="2849880" cy="177355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Matrix</a:t>
          </a:r>
          <a:r>
            <a:rPr lang="de-DE" sz="1100" baseline="0"/>
            <a:t> stellt direkt Interventionen des Outputs dar, welche mit Charakterisierungsmatrix multipliziert werden muss, um direkte Wirkungsabschätzungen des Outputs zu haben.</a:t>
          </a:r>
        </a:p>
        <a:p>
          <a:pPr algn="l"/>
          <a:endParaRPr lang="de-DE" sz="1100" baseline="0"/>
        </a:p>
        <a:p>
          <a:pPr algn="l"/>
          <a:r>
            <a:rPr lang="de-DE" sz="1100" baseline="0"/>
            <a:t>Addition der Wirkungsabschätzungen von Output und Input liefern gesamtes GWP der H2 Produktion</a:t>
          </a:r>
        </a:p>
        <a:p>
          <a:pPr algn="l"/>
          <a:endParaRPr lang="de-DE" sz="1100" baseline="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59055</xdr:colOff>
      <xdr:row>7</xdr:row>
      <xdr:rowOff>99058</xdr:rowOff>
    </xdr:from>
    <xdr:to>
      <xdr:col>14</xdr:col>
      <xdr:colOff>57150</xdr:colOff>
      <xdr:row>27</xdr:row>
      <xdr:rowOff>133350</xdr:rowOff>
    </xdr:to>
    <xdr:sp macro="" textlink="">
      <xdr:nvSpPr>
        <xdr:cNvPr id="2" name="Rechteck 1">
          <a:extLst>
            <a:ext uri="{FF2B5EF4-FFF2-40B4-BE49-F238E27FC236}">
              <a16:creationId xmlns:a16="http://schemas.microsoft.com/office/drawing/2014/main" id="{F59EBD6E-B050-9894-3F9A-FF20C2FA2593}"/>
            </a:ext>
          </a:extLst>
        </xdr:cNvPr>
        <xdr:cNvSpPr/>
      </xdr:nvSpPr>
      <xdr:spPr>
        <a:xfrm>
          <a:off x="11974830" y="1184908"/>
          <a:ext cx="3950970" cy="32918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-Theoretischer Energiebedarf der Verflüssigung von H2 beträgt 3,9 kWh/kg</a:t>
          </a:r>
          <a:r>
            <a:rPr lang="de-DE" sz="1100" baseline="0"/>
            <a:t>. In der Praxis werden je nach Quelle eher ca. 10 kWh/kg benötigt. 6.76 kWh/kg sind ziemlich gering.</a:t>
          </a:r>
        </a:p>
        <a:p>
          <a:pPr algn="l"/>
          <a:endParaRPr lang="de-DE" sz="1100" baseline="0"/>
        </a:p>
        <a:p>
          <a:pPr algn="l"/>
          <a:r>
            <a:rPr lang="de-DE" sz="1100" baseline="0"/>
            <a:t>-Regasifizierung benötigt kaum Energie, da die notwendige zugeführte Wärme auf geringem Temperaturniveau ist und aus der Umgebung gewonnen werden kann (Meerwasser). Keine Daten dazu in Papern gefunden, da oft vernachlässigt. In Internetquelle (https://www.energie-lexikon.info/fluessigerdgas.html) 1% des Heizwerts bei Erdgas, was hier als Orientierung genommen wird.</a:t>
          </a:r>
        </a:p>
        <a:p>
          <a:pPr algn="l"/>
          <a:endParaRPr lang="de-DE" sz="1100" baseline="0"/>
        </a:p>
        <a:p>
          <a:pPr algn="l"/>
          <a:r>
            <a:rPr lang="de-DE" sz="1100" baseline="0"/>
            <a:t>-Entspannung von komprimierten Gas kann ggf. vernachlässigt werden, da nur Druck abgelassen werden muss</a:t>
          </a:r>
        </a:p>
        <a:p>
          <a:pPr algn="l"/>
          <a:endParaRPr lang="de-DE" sz="1100" baseline="0"/>
        </a:p>
        <a:p>
          <a:pPr algn="l"/>
          <a:r>
            <a:rPr lang="de-DE" sz="1100" baseline="0"/>
            <a:t>-Eigentlich müsste man bei Regasifizierung GWP und Kosten von LH2-Terminal umlegen </a:t>
          </a:r>
          <a:endParaRPr lang="de-DE" sz="1100"/>
        </a:p>
      </xdr:txBody>
    </xdr:sp>
    <xdr:clientData/>
  </xdr:twoCellAnchor>
  <xdr:twoCellAnchor>
    <xdr:from>
      <xdr:col>0</xdr:col>
      <xdr:colOff>790575</xdr:colOff>
      <xdr:row>27</xdr:row>
      <xdr:rowOff>105668</xdr:rowOff>
    </xdr:from>
    <xdr:to>
      <xdr:col>1</xdr:col>
      <xdr:colOff>1017270</xdr:colOff>
      <xdr:row>38</xdr:row>
      <xdr:rowOff>7620</xdr:rowOff>
    </xdr:to>
    <xdr:sp macro="" textlink="">
      <xdr:nvSpPr>
        <xdr:cNvPr id="3" name="Rechteck 2">
          <a:extLst>
            <a:ext uri="{FF2B5EF4-FFF2-40B4-BE49-F238E27FC236}">
              <a16:creationId xmlns:a16="http://schemas.microsoft.com/office/drawing/2014/main" id="{D04E9660-A066-4D45-B42B-FA39072FF68A}"/>
            </a:ext>
          </a:extLst>
        </xdr:cNvPr>
        <xdr:cNvSpPr/>
      </xdr:nvSpPr>
      <xdr:spPr>
        <a:xfrm>
          <a:off x="790575" y="4677668"/>
          <a:ext cx="1864995" cy="19136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stellt</a:t>
          </a:r>
          <a:r>
            <a:rPr lang="de-DE" sz="1100" baseline="0"/>
            <a:t> Mischung aus</a:t>
          </a:r>
          <a:r>
            <a:rPr lang="de-DE" sz="1100"/>
            <a:t> Interventionsmatrix und Technikmatrix dar. Es müssen</a:t>
          </a:r>
          <a:r>
            <a:rPr lang="de-DE" sz="1100" baseline="0"/>
            <a:t> vor Nutzung der Matrix ggf. keine Änderung vorgenommen werden, wenn Wirkungsgrade und Auslastung gleich bleiben sollen (Siehe Python)</a:t>
          </a:r>
          <a:endParaRPr lang="de-DE" sz="1100"/>
        </a:p>
      </xdr:txBody>
    </xdr:sp>
    <xdr:clientData/>
  </xdr:twoCellAnchor>
  <xdr:twoCellAnchor editAs="oneCell">
    <xdr:from>
      <xdr:col>4</xdr:col>
      <xdr:colOff>104775</xdr:colOff>
      <xdr:row>24</xdr:row>
      <xdr:rowOff>161925</xdr:rowOff>
    </xdr:from>
    <xdr:to>
      <xdr:col>8</xdr:col>
      <xdr:colOff>1007462</xdr:colOff>
      <xdr:row>37</xdr:row>
      <xdr:rowOff>54797</xdr:rowOff>
    </xdr:to>
    <xdr:pic>
      <xdr:nvPicPr>
        <xdr:cNvPr id="4" name="Grafik 3">
          <a:extLst>
            <a:ext uri="{FF2B5EF4-FFF2-40B4-BE49-F238E27FC236}">
              <a16:creationId xmlns:a16="http://schemas.microsoft.com/office/drawing/2014/main" id="{38367697-4D1B-409C-9170-CFD6C1D3EB41}"/>
            </a:ext>
          </a:extLst>
        </xdr:cNvPr>
        <xdr:cNvPicPr>
          <a:picLocks noChangeAspect="1"/>
        </xdr:cNvPicPr>
      </xdr:nvPicPr>
      <xdr:blipFill>
        <a:blip xmlns:r="http://schemas.openxmlformats.org/officeDocument/2006/relationships" r:embed="rId1"/>
        <a:stretch>
          <a:fillRect/>
        </a:stretch>
      </xdr:blipFill>
      <xdr:spPr>
        <a:xfrm>
          <a:off x="5391150" y="3962400"/>
          <a:ext cx="6459572" cy="2237927"/>
        </a:xfrm>
        <a:prstGeom prst="rect">
          <a:avLst/>
        </a:prstGeom>
      </xdr:spPr>
    </xdr:pic>
    <xdr:clientData/>
  </xdr:twoCellAnchor>
  <xdr:twoCellAnchor>
    <xdr:from>
      <xdr:col>11</xdr:col>
      <xdr:colOff>66675</xdr:colOff>
      <xdr:row>28</xdr:row>
      <xdr:rowOff>21848</xdr:rowOff>
    </xdr:from>
    <xdr:to>
      <xdr:col>11</xdr:col>
      <xdr:colOff>1931670</xdr:colOff>
      <xdr:row>39</xdr:row>
      <xdr:rowOff>53340</xdr:rowOff>
    </xdr:to>
    <xdr:sp macro="" textlink="">
      <xdr:nvSpPr>
        <xdr:cNvPr id="5" name="Rechteck 4">
          <a:extLst>
            <a:ext uri="{FF2B5EF4-FFF2-40B4-BE49-F238E27FC236}">
              <a16:creationId xmlns:a16="http://schemas.microsoft.com/office/drawing/2014/main" id="{B6C9BDFA-51F7-4627-A7BB-74A91824E1CB}"/>
            </a:ext>
          </a:extLst>
        </xdr:cNvPr>
        <xdr:cNvSpPr/>
      </xdr:nvSpPr>
      <xdr:spPr>
        <a:xfrm>
          <a:off x="12456795" y="4593848"/>
          <a:ext cx="1864995" cy="204317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Faktoren</a:t>
          </a:r>
          <a:r>
            <a:rPr lang="de-DE" sz="1100" baseline="0"/>
            <a:t> von Umwandlungsstationen sind bereits durch gesamten H2 Durchsatz in der Lebenszeit geteilt.</a:t>
          </a:r>
          <a:br>
            <a:rPr lang="de-DE" sz="1100" baseline="0"/>
          </a:br>
          <a:r>
            <a:rPr lang="de-DE" sz="1100" baseline="0"/>
            <a:t>Für Hydrierungs- und Dehdrierungsstation ist ein bestimmtes Gewicht einer chemischen Fabrik angenommen.</a:t>
          </a:r>
          <a:endParaRPr lang="de-DE" sz="1100"/>
        </a:p>
      </xdr:txBody>
    </xdr:sp>
    <xdr:clientData/>
  </xdr:twoCellAnchor>
  <xdr:twoCellAnchor>
    <xdr:from>
      <xdr:col>8</xdr:col>
      <xdr:colOff>1217295</xdr:colOff>
      <xdr:row>17</xdr:row>
      <xdr:rowOff>100965</xdr:rowOff>
    </xdr:from>
    <xdr:to>
      <xdr:col>10</xdr:col>
      <xdr:colOff>1238250</xdr:colOff>
      <xdr:row>46</xdr:row>
      <xdr:rowOff>47625</xdr:rowOff>
    </xdr:to>
    <xdr:sp macro="" textlink="">
      <xdr:nvSpPr>
        <xdr:cNvPr id="6" name="Rechteck 5">
          <a:extLst>
            <a:ext uri="{FF2B5EF4-FFF2-40B4-BE49-F238E27FC236}">
              <a16:creationId xmlns:a16="http://schemas.microsoft.com/office/drawing/2014/main" id="{9D826DE4-2229-4D5E-9D10-A8FCC64D7995}"/>
            </a:ext>
          </a:extLst>
        </xdr:cNvPr>
        <xdr:cNvSpPr/>
      </xdr:nvSpPr>
      <xdr:spPr>
        <a:xfrm>
          <a:off x="12456795" y="3177540"/>
          <a:ext cx="1868805" cy="51949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Notizen Ammoniak:</a:t>
          </a:r>
        </a:p>
        <a:p>
          <a:pPr algn="l"/>
          <a:r>
            <a:rPr lang="de-DE" sz="1100"/>
            <a:t>Stöchiometrie: 1t</a:t>
          </a:r>
          <a:r>
            <a:rPr lang="de-DE" sz="1100" baseline="0"/>
            <a:t> H2 zu 5 t Ammoniak</a:t>
          </a:r>
        </a:p>
        <a:p>
          <a:pPr algn="l"/>
          <a:r>
            <a:rPr lang="de-DE" sz="1100" baseline="0"/>
            <a:t>Haber Bosch: Exotherm. Strom für Kompression + Stickstoff Input (Insb. Strom Air Seperation)</a:t>
          </a:r>
        </a:p>
        <a:p>
          <a:pPr algn="l"/>
          <a:endParaRPr lang="de-DE" sz="1100"/>
        </a:p>
        <a:p>
          <a:pPr algn="l"/>
          <a:r>
            <a:rPr lang="de-DE" sz="1100"/>
            <a:t>Haber</a:t>
          </a:r>
          <a:r>
            <a:rPr lang="de-DE" sz="1100" baseline="0"/>
            <a:t> Bosch Elektrisch: 1,2-2,7 GJ/t NH3 </a:t>
          </a:r>
        </a:p>
        <a:p>
          <a:pPr algn="l"/>
          <a:endParaRPr lang="de-DE" sz="1100" baseline="0"/>
        </a:p>
        <a:p>
          <a:pPr algn="l"/>
          <a:r>
            <a:rPr lang="de-DE" sz="1100" baseline="0"/>
            <a:t>Strom für ASU in Nitrogen.</a:t>
          </a:r>
        </a:p>
        <a:p>
          <a:pPr algn="l"/>
          <a:endParaRPr lang="de-DE" sz="1100" baseline="0"/>
        </a:p>
        <a:p>
          <a:pPr algn="l"/>
          <a:r>
            <a:rPr lang="de-DE" sz="1100" baseline="0"/>
            <a:t>Cracker: Endotherm: Es wird Wärme benötigt, die aus Verbrennen von Ammoniak gewonnen werden kann. Zusätzlich geht Wasserstoff verloren bzw. wird verwendet. Beste Quelle für Energieaufwand genommen. In einem anderen Paper wird von 52 GJ/ t H2 gesprochen, was glaube ich viel zu viel wäre. </a:t>
          </a:r>
        </a:p>
        <a:p>
          <a:pPr algn="l"/>
          <a:endParaRPr lang="de-DE" sz="1100" baseline="0"/>
        </a:p>
        <a:p>
          <a:pPr algn="l"/>
          <a:r>
            <a:rPr lang="de-DE" sz="1100" baseline="0"/>
            <a:t>Andere Komponenten bis auf Plant können vernachlässigt werden.</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1019175</xdr:colOff>
      <xdr:row>11</xdr:row>
      <xdr:rowOff>28575</xdr:rowOff>
    </xdr:from>
    <xdr:to>
      <xdr:col>11</xdr:col>
      <xdr:colOff>224790</xdr:colOff>
      <xdr:row>26</xdr:row>
      <xdr:rowOff>53341</xdr:rowOff>
    </xdr:to>
    <xdr:sp macro="" textlink="">
      <xdr:nvSpPr>
        <xdr:cNvPr id="2" name="Rechteck 1">
          <a:extLst>
            <a:ext uri="{FF2B5EF4-FFF2-40B4-BE49-F238E27FC236}">
              <a16:creationId xmlns:a16="http://schemas.microsoft.com/office/drawing/2014/main" id="{A9FB018C-B0EC-4DFC-8085-D09E5EBD42FA}"/>
            </a:ext>
          </a:extLst>
        </xdr:cNvPr>
        <xdr:cNvSpPr/>
      </xdr:nvSpPr>
      <xdr:spPr>
        <a:xfrm>
          <a:off x="10868025" y="1476375"/>
          <a:ext cx="3949065" cy="273939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-Hydrierung und Dehydrierung plant sind über Chemical Factory Prozess,</a:t>
          </a:r>
          <a:r>
            <a:rPr lang="de-DE" sz="1100" baseline="0"/>
            <a:t> welcher die Einheit kg im Output hat, approximiert. Das benötigte Gewicht der Chemical factory beträgt 100 t für die Hydrogeneration plant und 1,3 t für die Dehydrogeneration plant</a:t>
          </a:r>
        </a:p>
        <a:p>
          <a:pPr algn="l"/>
          <a:endParaRPr lang="de-DE" sz="1100" baseline="0"/>
        </a:p>
        <a:p>
          <a:pPr algn="l"/>
          <a:r>
            <a:rPr lang="de-DE" sz="1100" baseline="0"/>
            <a:t>-Kosten aus OpenLCA tlw. nicht realistisch. Es gibt Kostenangaben in Quellen, welche eher genommen werden sollten</a:t>
          </a:r>
          <a:endParaRPr lang="de-DE" sz="1100"/>
        </a:p>
      </xdr:txBody>
    </xdr:sp>
    <xdr:clientData/>
  </xdr:twoCellAnchor>
  <xdr:twoCellAnchor>
    <xdr:from>
      <xdr:col>0</xdr:col>
      <xdr:colOff>493395</xdr:colOff>
      <xdr:row>22</xdr:row>
      <xdr:rowOff>19050</xdr:rowOff>
    </xdr:from>
    <xdr:to>
      <xdr:col>1</xdr:col>
      <xdr:colOff>1706880</xdr:colOff>
      <xdr:row>30</xdr:row>
      <xdr:rowOff>0</xdr:rowOff>
    </xdr:to>
    <xdr:sp macro="" textlink="">
      <xdr:nvSpPr>
        <xdr:cNvPr id="3" name="Rechteck 2">
          <a:extLst>
            <a:ext uri="{FF2B5EF4-FFF2-40B4-BE49-F238E27FC236}">
              <a16:creationId xmlns:a16="http://schemas.microsoft.com/office/drawing/2014/main" id="{C070F0DB-CA21-4E71-BEED-D06824FC4E75}"/>
            </a:ext>
          </a:extLst>
        </xdr:cNvPr>
        <xdr:cNvSpPr/>
      </xdr:nvSpPr>
      <xdr:spPr>
        <a:xfrm>
          <a:off x="493395" y="3457575"/>
          <a:ext cx="2851785" cy="14287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Tabelle stellt transponierte Charakterisierungsmatrix dar.</a:t>
          </a:r>
        </a:p>
        <a:p>
          <a:pPr algn="l"/>
          <a:r>
            <a:rPr lang="de-DE" sz="1100"/>
            <a:t>Mit vorheriger Matrix</a:t>
          </a:r>
          <a:r>
            <a:rPr lang="de-DE" sz="1100" baseline="0"/>
            <a:t> Umwadlungen_Input  können direkt GWP und Kosten der Umwandlungen errechnet werden (Nur des Inputs, direkte CO2 Emissionen durch Output in betrachteten Umwandungsverfahren allerdings nicht vorhanden)</a:t>
          </a:r>
          <a:endParaRPr lang="de-DE" sz="1100"/>
        </a:p>
      </xdr:txBody>
    </xdr:sp>
    <xdr:clientData/>
  </xdr:twoCellAnchor>
  <xdr:twoCellAnchor editAs="oneCell">
    <xdr:from>
      <xdr:col>2</xdr:col>
      <xdr:colOff>398146</xdr:colOff>
      <xdr:row>22</xdr:row>
      <xdr:rowOff>95250</xdr:rowOff>
    </xdr:from>
    <xdr:to>
      <xdr:col>7</xdr:col>
      <xdr:colOff>363573</xdr:colOff>
      <xdr:row>34</xdr:row>
      <xdr:rowOff>172907</xdr:rowOff>
    </xdr:to>
    <xdr:pic>
      <xdr:nvPicPr>
        <xdr:cNvPr id="4" name="Grafik 3">
          <a:extLst>
            <a:ext uri="{FF2B5EF4-FFF2-40B4-BE49-F238E27FC236}">
              <a16:creationId xmlns:a16="http://schemas.microsoft.com/office/drawing/2014/main" id="{64E72790-7C36-4AAA-9EB2-236E4D0AF69A}"/>
            </a:ext>
          </a:extLst>
        </xdr:cNvPr>
        <xdr:cNvPicPr>
          <a:picLocks noChangeAspect="1"/>
        </xdr:cNvPicPr>
      </xdr:nvPicPr>
      <xdr:blipFill>
        <a:blip xmlns:r="http://schemas.openxmlformats.org/officeDocument/2006/relationships" r:embed="rId1"/>
        <a:stretch>
          <a:fillRect/>
        </a:stretch>
      </xdr:blipFill>
      <xdr:spPr>
        <a:xfrm>
          <a:off x="4112896" y="3533775"/>
          <a:ext cx="6451952" cy="2236022"/>
        </a:xfrm>
        <a:prstGeom prst="rect">
          <a:avLst/>
        </a:prstGeom>
      </xdr:spPr>
    </xdr:pic>
    <xdr:clientData/>
  </xdr:twoCellAnchor>
  <xdr:twoCellAnchor>
    <xdr:from>
      <xdr:col>0</xdr:col>
      <xdr:colOff>483870</xdr:colOff>
      <xdr:row>30</xdr:row>
      <xdr:rowOff>148590</xdr:rowOff>
    </xdr:from>
    <xdr:to>
      <xdr:col>1</xdr:col>
      <xdr:colOff>1693545</xdr:colOff>
      <xdr:row>38</xdr:row>
      <xdr:rowOff>139065</xdr:rowOff>
    </xdr:to>
    <xdr:sp macro="" textlink="">
      <xdr:nvSpPr>
        <xdr:cNvPr id="5" name="Rechteck 4">
          <a:extLst>
            <a:ext uri="{FF2B5EF4-FFF2-40B4-BE49-F238E27FC236}">
              <a16:creationId xmlns:a16="http://schemas.microsoft.com/office/drawing/2014/main" id="{02D9840B-B546-4D52-80C1-C69DB79E743D}"/>
            </a:ext>
          </a:extLst>
        </xdr:cNvPr>
        <xdr:cNvSpPr/>
      </xdr:nvSpPr>
      <xdr:spPr>
        <a:xfrm>
          <a:off x="483870" y="5034915"/>
          <a:ext cx="2847975" cy="1438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Hydrogen loss kann über Skalierungsvektor</a:t>
          </a:r>
          <a:r>
            <a:rPr lang="de-DE" sz="1100" baseline="0"/>
            <a:t> dargestellt werden (Prozess muss 1+Hydrogen loss mal durchlaufen werden)</a:t>
          </a:r>
        </a:p>
        <a:p>
          <a:pPr algn="l"/>
          <a:endParaRPr lang="de-DE" sz="1100" baseline="0"/>
        </a:p>
        <a:p>
          <a:pPr algn="l"/>
          <a:r>
            <a:rPr lang="de-DE" sz="1100" baseline="0"/>
            <a:t>Siehe Python</a:t>
          </a:r>
          <a:endParaRPr lang="de-DE"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24765</xdr:colOff>
      <xdr:row>8</xdr:row>
      <xdr:rowOff>34290</xdr:rowOff>
    </xdr:from>
    <xdr:to>
      <xdr:col>11</xdr:col>
      <xdr:colOff>1905</xdr:colOff>
      <xdr:row>21</xdr:row>
      <xdr:rowOff>62865</xdr:rowOff>
    </xdr:to>
    <xdr:sp macro="" textlink="">
      <xdr:nvSpPr>
        <xdr:cNvPr id="2" name="Rechteck 1">
          <a:extLst>
            <a:ext uri="{FF2B5EF4-FFF2-40B4-BE49-F238E27FC236}">
              <a16:creationId xmlns:a16="http://schemas.microsoft.com/office/drawing/2014/main" id="{8EE7ED59-3F4E-4072-93DE-3459ADA6F5F1}"/>
            </a:ext>
          </a:extLst>
        </xdr:cNvPr>
        <xdr:cNvSpPr/>
      </xdr:nvSpPr>
      <xdr:spPr>
        <a:xfrm>
          <a:off x="7949565" y="1497330"/>
          <a:ext cx="5356860" cy="24060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Eigene Prozesse zum Transport von H2 in OpenLCA (noch)</a:t>
          </a:r>
          <a:r>
            <a:rPr lang="de-DE" sz="1100" baseline="0"/>
            <a:t> nicht vorhanden</a:t>
          </a:r>
          <a:endParaRPr lang="de-DE" sz="1100"/>
        </a:p>
        <a:p>
          <a:pPr algn="l"/>
          <a:endParaRPr lang="de-DE" sz="1100"/>
        </a:p>
        <a:p>
          <a:pPr algn="l"/>
          <a:r>
            <a:rPr lang="de-DE" sz="1100"/>
            <a:t>Daten aus OpenLCA</a:t>
          </a:r>
          <a:r>
            <a:rPr lang="de-DE" sz="1100" baseline="0"/>
            <a:t> für Transportprozesse von Erdgas korrigiert mit Korrekturfaktoren basierend auf Dichteverhältnis.</a:t>
          </a:r>
        </a:p>
        <a:p>
          <a:pPr algn="l"/>
          <a:endParaRPr lang="de-DE" sz="1100" baseline="0"/>
        </a:p>
        <a:p>
          <a:pPr algn="l"/>
          <a:r>
            <a:rPr lang="de-DE" sz="1100" baseline="0"/>
            <a:t>Außer bei LOHC muss bei Transportmittelwechsel immer neu verflüssigt bzw. komprimiert werden</a:t>
          </a:r>
        </a:p>
        <a:p>
          <a:pPr algn="l"/>
          <a:endParaRPr lang="de-DE" sz="1100" baseline="0"/>
        </a:p>
        <a:p>
          <a:pPr algn="l"/>
          <a:r>
            <a:rPr lang="de-DE" sz="1100" baseline="0"/>
            <a:t>Erweiterungen denkbar - Bspw. Auswahl, ob Antrieb der Transportmittel mittels H2</a:t>
          </a:r>
          <a:endParaRPr lang="de-DE" sz="1100"/>
        </a:p>
      </xdr:txBody>
    </xdr:sp>
    <xdr:clientData/>
  </xdr:twoCellAnchor>
  <xdr:twoCellAnchor editAs="oneCell">
    <xdr:from>
      <xdr:col>7</xdr:col>
      <xdr:colOff>30480</xdr:colOff>
      <xdr:row>22</xdr:row>
      <xdr:rowOff>110490</xdr:rowOff>
    </xdr:from>
    <xdr:to>
      <xdr:col>11</xdr:col>
      <xdr:colOff>264512</xdr:colOff>
      <xdr:row>34</xdr:row>
      <xdr:rowOff>163382</xdr:rowOff>
    </xdr:to>
    <xdr:pic>
      <xdr:nvPicPr>
        <xdr:cNvPr id="3" name="Grafik 2">
          <a:extLst>
            <a:ext uri="{FF2B5EF4-FFF2-40B4-BE49-F238E27FC236}">
              <a16:creationId xmlns:a16="http://schemas.microsoft.com/office/drawing/2014/main" id="{0A7EFC3E-4523-49B7-B53C-B6C19BA0CD40}"/>
            </a:ext>
          </a:extLst>
        </xdr:cNvPr>
        <xdr:cNvPicPr>
          <a:picLocks noChangeAspect="1"/>
        </xdr:cNvPicPr>
      </xdr:nvPicPr>
      <xdr:blipFill>
        <a:blip xmlns:r="http://schemas.openxmlformats.org/officeDocument/2006/relationships" r:embed="rId1"/>
        <a:stretch>
          <a:fillRect/>
        </a:stretch>
      </xdr:blipFill>
      <xdr:spPr>
        <a:xfrm>
          <a:off x="8145780" y="4091940"/>
          <a:ext cx="6444332" cy="2222687"/>
        </a:xfrm>
        <a:prstGeom prst="rect">
          <a:avLst/>
        </a:prstGeom>
      </xdr:spPr>
    </xdr:pic>
    <xdr:clientData/>
  </xdr:twoCellAnchor>
  <xdr:twoCellAnchor>
    <xdr:from>
      <xdr:col>0</xdr:col>
      <xdr:colOff>285750</xdr:colOff>
      <xdr:row>8</xdr:row>
      <xdr:rowOff>137159</xdr:rowOff>
    </xdr:from>
    <xdr:to>
      <xdr:col>2</xdr:col>
      <xdr:colOff>1047750</xdr:colOff>
      <xdr:row>21</xdr:row>
      <xdr:rowOff>152399</xdr:rowOff>
    </xdr:to>
    <xdr:sp macro="" textlink="">
      <xdr:nvSpPr>
        <xdr:cNvPr id="4" name="Rechteck 3">
          <a:extLst>
            <a:ext uri="{FF2B5EF4-FFF2-40B4-BE49-F238E27FC236}">
              <a16:creationId xmlns:a16="http://schemas.microsoft.com/office/drawing/2014/main" id="{466B90DD-41A6-40BC-A118-025976B15855}"/>
            </a:ext>
          </a:extLst>
        </xdr:cNvPr>
        <xdr:cNvSpPr/>
      </xdr:nvSpPr>
      <xdr:spPr>
        <a:xfrm>
          <a:off x="285750" y="1584959"/>
          <a:ext cx="2943225" cy="236791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Matrix</a:t>
          </a:r>
          <a:r>
            <a:rPr lang="de-DE" sz="1100" baseline="0"/>
            <a:t> stellt direkt Wirkungsabschätzungen des Outputs dar, welche nur mit Skalierungsvektor multipliziert werden muss, um direkte Wirkungsabschätzungen des Outputs zu haben.</a:t>
          </a:r>
        </a:p>
        <a:p>
          <a:pPr algn="l"/>
          <a:endParaRPr lang="de-DE" sz="1100" baseline="0"/>
        </a:p>
        <a:p>
          <a:pPr algn="l"/>
          <a:r>
            <a:rPr lang="de-DE" sz="1100" baseline="0"/>
            <a:t>Weitere Analyse des Inputs hier nicht notwendig, da die Auswirkungen bereits in dem Prozess abgebildet sind.</a:t>
          </a:r>
        </a:p>
        <a:p>
          <a:pPr algn="l"/>
          <a:endParaRPr lang="de-DE" sz="1100" baseline="0"/>
        </a:p>
        <a:p>
          <a:pPr algn="l"/>
          <a:r>
            <a:rPr lang="de-DE" sz="1100" baseline="0"/>
            <a:t>Skalierungsvekor ergibt sich aus Entscheidungsmatrix für Transportmittel und Vektor für Transportlänge.</a:t>
          </a:r>
        </a:p>
      </xdr:txBody>
    </xdr:sp>
    <xdr:clientData/>
  </xdr:twoCellAnchor>
  <xdr:twoCellAnchor>
    <xdr:from>
      <xdr:col>0</xdr:col>
      <xdr:colOff>281940</xdr:colOff>
      <xdr:row>22</xdr:row>
      <xdr:rowOff>41909</xdr:rowOff>
    </xdr:from>
    <xdr:to>
      <xdr:col>2</xdr:col>
      <xdr:colOff>1047750</xdr:colOff>
      <xdr:row>35</xdr:row>
      <xdr:rowOff>55244</xdr:rowOff>
    </xdr:to>
    <xdr:sp macro="" textlink="">
      <xdr:nvSpPr>
        <xdr:cNvPr id="5" name="Rechteck 4">
          <a:extLst>
            <a:ext uri="{FF2B5EF4-FFF2-40B4-BE49-F238E27FC236}">
              <a16:creationId xmlns:a16="http://schemas.microsoft.com/office/drawing/2014/main" id="{A5CEC896-FBC5-4716-B751-9979E8B6ED4B}"/>
            </a:ext>
          </a:extLst>
        </xdr:cNvPr>
        <xdr:cNvSpPr/>
      </xdr:nvSpPr>
      <xdr:spPr>
        <a:xfrm>
          <a:off x="281940" y="4023359"/>
          <a:ext cx="2947035" cy="23660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aseline="0"/>
            <a:t>Verluste für Pipeline aus MA von Max Hackelboerger (0,5% bei 250 km). </a:t>
          </a:r>
        </a:p>
        <a:p>
          <a:pPr algn="l"/>
          <a:endParaRPr lang="de-DE" sz="1100" baseline="0"/>
        </a:p>
        <a:p>
          <a:pPr algn="l"/>
          <a:r>
            <a:rPr lang="de-DE" sz="1100" baseline="0"/>
            <a:t>Keine Verluste bei Schiffen, da zusätzlicher Energieaufwand für Rückverflüssigung von Boiloff Verlusten inbegriffen.</a:t>
          </a:r>
        </a:p>
        <a:p>
          <a:pPr algn="l"/>
          <a:endParaRPr lang="de-DE" sz="1100" baseline="0"/>
        </a:p>
        <a:p>
          <a:pPr algn="l"/>
          <a:r>
            <a:rPr lang="de-DE" sz="1100" baseline="0"/>
            <a:t>Verluste bei Straßentransport können insbesondere bei verflüssigtem Wasserstoff auftreten, sind hier allerdings vernachlässigt, da keine Daten gefunden (Intensivere Recherche notwendig).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11</xdr:col>
      <xdr:colOff>409575</xdr:colOff>
      <xdr:row>2</xdr:row>
      <xdr:rowOff>619125</xdr:rowOff>
    </xdr:from>
    <xdr:to>
      <xdr:col>15</xdr:col>
      <xdr:colOff>447675</xdr:colOff>
      <xdr:row>10</xdr:row>
      <xdr:rowOff>142875</xdr:rowOff>
    </xdr:to>
    <xdr:sp macro="" textlink="">
      <xdr:nvSpPr>
        <xdr:cNvPr id="2" name="Rechteck 1">
          <a:extLst>
            <a:ext uri="{FF2B5EF4-FFF2-40B4-BE49-F238E27FC236}">
              <a16:creationId xmlns:a16="http://schemas.microsoft.com/office/drawing/2014/main" id="{34B0E1BB-FA37-3F81-CB9A-CB430B72D1E2}"/>
            </a:ext>
          </a:extLst>
        </xdr:cNvPr>
        <xdr:cNvSpPr/>
      </xdr:nvSpPr>
      <xdr:spPr>
        <a:xfrm>
          <a:off x="9153525" y="981075"/>
          <a:ext cx="3200400" cy="2371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Bei Korrekturfaktoren durch dem Verhältnis aus der Dichte von Erdgas und Wasserstoff ist zu beachten, dass die Emissionen und Kosten pro kg</a:t>
          </a:r>
          <a:r>
            <a:rPr lang="de-DE" sz="1100" baseline="0"/>
            <a:t> H2 deutlich höher sind also pro kg Erdgas, diese allerdings zumindestens teilweise durch den höheren massenbezogenen Heizwert von Wasserstoff kompensiert werden</a:t>
          </a:r>
        </a:p>
        <a:p>
          <a:pPr algn="l"/>
          <a:endParaRPr lang="de-DE" sz="1100" baseline="0"/>
        </a:p>
        <a:p>
          <a:pPr algn="l"/>
          <a:r>
            <a:rPr lang="de-DE" sz="1100" baseline="0"/>
            <a:t>Die auftretenen Methanemissionen beim Transport vom Erdgas könnten ggf. problematisch sein, sollten diese einen sehr hohen Anteil am GWP vom Erdgastransport haben (Haben sie allerdings auf den ersten Blick nicht)</a:t>
          </a:r>
          <a:endParaRPr lang="de-DE" sz="1100"/>
        </a:p>
      </xdr:txBody>
    </xdr:sp>
    <xdr:clientData/>
  </xdr:twoCellAnchor>
  <xdr:twoCellAnchor editAs="oneCell">
    <xdr:from>
      <xdr:col>8</xdr:col>
      <xdr:colOff>828675</xdr:colOff>
      <xdr:row>4</xdr:row>
      <xdr:rowOff>57150</xdr:rowOff>
    </xdr:from>
    <xdr:to>
      <xdr:col>10</xdr:col>
      <xdr:colOff>1154871</xdr:colOff>
      <xdr:row>8</xdr:row>
      <xdr:rowOff>106788</xdr:rowOff>
    </xdr:to>
    <xdr:pic>
      <xdr:nvPicPr>
        <xdr:cNvPr id="3" name="Grafik 2">
          <a:extLst>
            <a:ext uri="{FF2B5EF4-FFF2-40B4-BE49-F238E27FC236}">
              <a16:creationId xmlns:a16="http://schemas.microsoft.com/office/drawing/2014/main" id="{164037CF-F691-D2D3-02AC-3417906DBA97}"/>
            </a:ext>
          </a:extLst>
        </xdr:cNvPr>
        <xdr:cNvPicPr>
          <a:picLocks noChangeAspect="1"/>
        </xdr:cNvPicPr>
      </xdr:nvPicPr>
      <xdr:blipFill>
        <a:blip xmlns:r="http://schemas.openxmlformats.org/officeDocument/2006/relationships" r:embed="rId1"/>
        <a:stretch>
          <a:fillRect/>
        </a:stretch>
      </xdr:blipFill>
      <xdr:spPr>
        <a:xfrm>
          <a:off x="7200900" y="2181225"/>
          <a:ext cx="3164646" cy="77353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9</xdr:col>
      <xdr:colOff>284480</xdr:colOff>
      <xdr:row>3</xdr:row>
      <xdr:rowOff>47625</xdr:rowOff>
    </xdr:from>
    <xdr:to>
      <xdr:col>13</xdr:col>
      <xdr:colOff>688340</xdr:colOff>
      <xdr:row>9</xdr:row>
      <xdr:rowOff>164465</xdr:rowOff>
    </xdr:to>
    <xdr:sp macro="" textlink="">
      <xdr:nvSpPr>
        <xdr:cNvPr id="2" name="Rechteck 1">
          <a:extLst>
            <a:ext uri="{FF2B5EF4-FFF2-40B4-BE49-F238E27FC236}">
              <a16:creationId xmlns:a16="http://schemas.microsoft.com/office/drawing/2014/main" id="{3FBFADE8-547D-E661-192F-82E41F2E9B41}"/>
            </a:ext>
          </a:extLst>
        </xdr:cNvPr>
        <xdr:cNvSpPr/>
      </xdr:nvSpPr>
      <xdr:spPr>
        <a:xfrm>
          <a:off x="13114655" y="590550"/>
          <a:ext cx="3451860" cy="12026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a:t>Bremerhaven</a:t>
          </a:r>
          <a:r>
            <a:rPr lang="de-DE" sz="1100" baseline="0"/>
            <a:t> als Ankunftshafen</a:t>
          </a:r>
        </a:p>
        <a:p>
          <a:pPr algn="l"/>
          <a:endParaRPr lang="de-DE" sz="1100" baseline="0"/>
        </a:p>
        <a:p>
          <a:pPr algn="l"/>
          <a:r>
            <a:rPr lang="de-DE" sz="1100" baseline="0"/>
            <a:t>Google Maps und Seemeilenkalkulator als Quellen</a:t>
          </a:r>
          <a:endParaRPr lang="de-DE" sz="1100"/>
        </a:p>
      </xdr:txBody>
    </xdr:sp>
    <xdr:clientData/>
  </xdr:twoCellAnchor>
</xdr:wsDr>
</file>

<file path=xl/persons/person.xml><?xml version="1.0" encoding="utf-8"?>
<personList xmlns="http://schemas.microsoft.com/office/spreadsheetml/2018/threadedcomments" xmlns:x="http://schemas.openxmlformats.org/spreadsheetml/2006/main">
  <person displayName="Sara Eichholz" id="{E672ADB9-4926-47D7-B33F-694524EBEEAD}" userId="234ce3ae8c450817" providerId="Windows Live"/>
  <person displayName="David Wohlleben" id="{1EE9D61C-0D5C-4C93-BCF8-CD86E1B74FD2}" userId="e2b402ad2dd5d190" providerId="Windows Live"/>
  <person displayName="David Wohlleben" id="{9B297CFB-8C3B-478C-AED0-7E5659070527}" userId="S::david.wohlleben@rwth-aachen.de::f81733e5-1691-4b77-9b11-4b3f58ce946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9-16T10:47:28.81" personId="{1EE9D61C-0D5C-4C93-BCF8-CD86E1B74FD2}" id="{7E19B8BD-18FE-4BBF-BAD4-F72B10E9DF44}">
    <text>Strom für die PEM Elektrolyse, abhängig vom Wirkungsgrad der PEM Elektrolyse</text>
  </threadedComment>
  <threadedComment ref="B3" dT="2022-08-22T08:34:29.02" personId="{1EE9D61C-0D5C-4C93-BCF8-CD86E1B74FD2}" id="{AD863D7A-0150-4CFD-8767-D5EA7393DFF9}">
    <text>Es wird durch den Wirkungsgrad geteilt, damit am Ende kWh/kg H2 (Siehe Python)</text>
  </threadedComment>
</ThreadedComments>
</file>

<file path=xl/threadedComments/threadedComment10.xml><?xml version="1.0" encoding="utf-8"?>
<ThreadedComments xmlns="http://schemas.microsoft.com/office/spreadsheetml/2018/threadedcomments" xmlns:x="http://schemas.openxmlformats.org/spreadsheetml/2006/main">
  <threadedComment ref="H1" dT="2022-09-21T10:38:05.14" personId="{1EE9D61C-0D5C-4C93-BCF8-CD86E1B74FD2}" id="{51F2EABA-B2C6-43C7-83C3-708F49F13F0E}">
    <text>PV</text>
  </threadedComment>
  <threadedComment ref="E2" dT="2022-08-17T09:37:10.77" personId="{1EE9D61C-0D5C-4C93-BCF8-CD86E1B74FD2}" id="{19E4EDA1-46CA-4E34-9ED4-BD277943F1D5}">
    <text>Ölkraftwerk mit 32% el. Wirkungsgrad</text>
  </threadedComment>
  <threadedComment ref="A3" dT="2022-08-15T12:54:29.01" personId="{1EE9D61C-0D5C-4C93-BCF8-CD86E1B74FD2}" id="{A64C496A-A315-4649-9AA6-11EB828426B2}">
    <text>Bergen (Norwegen) als Startpunkt)</text>
  </threadedComment>
  <threadedComment ref="A4" dT="2022-08-15T12:56:28.01" personId="{1EE9D61C-0D5C-4C93-BCF8-CD86E1B74FD2}" id="{A5F6CC50-384A-4EEF-9C39-49666F1B4FB8}">
    <text>Von Felixtowe</text>
  </threadedComment>
  <threadedComment ref="A5" dT="2022-08-15T13:00:03.89" personId="{1EE9D61C-0D5C-4C93-BCF8-CD86E1B74FD2}" id="{7FC038A8-5D7A-48A6-837D-8B57E9B8FF84}">
    <text>Von Madrid</text>
  </threadedComment>
  <threadedComment ref="A6" dT="2022-08-15T12:58:13.93" personId="{1EE9D61C-0D5C-4C93-BCF8-CD86E1B74FD2}" id="{2786DF08-9D86-4949-82CD-B201D3DE4A0C}">
    <text>Von Algier</text>
  </threadedComment>
  <threadedComment ref="A7" dT="2022-08-15T13:08:20.44" personId="{1EE9D61C-0D5C-4C93-BCF8-CD86E1B74FD2}" id="{266C5564-891C-40C3-9530-21A59F181A8F}">
    <text>Von Accra (Ghana)</text>
  </threadedComment>
  <threadedComment ref="A8" dT="2022-08-15T13:08:35.13" personId="{1EE9D61C-0D5C-4C93-BCF8-CD86E1B74FD2}" id="{0503CBD9-C0E8-4650-B1D6-CB2E60398D97}">
    <text>Von Katar</text>
  </threadedComment>
  <threadedComment ref="A9" dT="2022-08-15T13:12:35.01" personId="{1EE9D61C-0D5C-4C93-BCF8-CD86E1B74FD2}" id="{08094DBB-BF1E-4CB1-9D82-80F569DF2C44}">
    <text>Aus Thailand</text>
  </threadedComment>
  <threadedComment ref="A10" dT="2022-08-15T13:15:22.35" personId="{1EE9D61C-0D5C-4C93-BCF8-CD86E1B74FD2}" id="{13193078-9582-4317-A74D-EE12E11351BA}">
    <text>Aus Perth</text>
  </threadedComment>
</ThreadedComments>
</file>

<file path=xl/threadedComments/threadedComment11.xml><?xml version="1.0" encoding="utf-8"?>
<ThreadedComments xmlns="http://schemas.microsoft.com/office/spreadsheetml/2018/threadedcomments" xmlns:x="http://schemas.openxmlformats.org/spreadsheetml/2006/main">
  <threadedComment ref="H1" dT="2022-09-21T10:38:05.14" personId="{1EE9D61C-0D5C-4C93-BCF8-CD86E1B74FD2}" id="{06FAA509-B63C-487E-93C7-431112BF6962}">
    <text>PV</text>
  </threadedComment>
  <threadedComment ref="U1" dT="2022-09-21T10:38:05.14" personId="{1EE9D61C-0D5C-4C93-BCF8-CD86E1B74FD2}" id="{A4CEC460-72F8-4682-B551-AF6C1B290F7B}">
    <text>PV</text>
  </threadedComment>
  <threadedComment ref="A4" dT="2022-08-15T12:54:29.01" personId="{1EE9D61C-0D5C-4C93-BCF8-CD86E1B74FD2}" id="{112EB329-BBB3-475E-A498-0CD6DA5503FE}">
    <text>Bergen (Norwegen) als Startpunkt)</text>
  </threadedComment>
  <threadedComment ref="A5" dT="2022-08-15T12:56:28.01" personId="{1EE9D61C-0D5C-4C93-BCF8-CD86E1B74FD2}" id="{0FEA4124-EB1C-4F9E-A7C7-6C3DB2217F59}">
    <text>Von Felixtowe</text>
  </threadedComment>
  <threadedComment ref="A6" dT="2022-08-15T13:00:03.89" personId="{1EE9D61C-0D5C-4C93-BCF8-CD86E1B74FD2}" id="{955CE570-E455-43D0-A7BC-C447089295E4}">
    <text>Von Madrid</text>
  </threadedComment>
  <threadedComment ref="A7" dT="2022-08-15T12:58:13.93" personId="{1EE9D61C-0D5C-4C93-BCF8-CD86E1B74FD2}" id="{9FC1948B-A30F-4ECD-9A74-8D330FB9782A}">
    <text>Von Algier</text>
  </threadedComment>
  <threadedComment ref="A8" dT="2022-08-15T13:08:20.44" personId="{1EE9D61C-0D5C-4C93-BCF8-CD86E1B74FD2}" id="{BE131E58-40BE-4811-AB19-9840109FF294}">
    <text>Von Accra (Ghana)</text>
  </threadedComment>
  <threadedComment ref="A9" dT="2022-08-15T13:08:35.13" personId="{1EE9D61C-0D5C-4C93-BCF8-CD86E1B74FD2}" id="{7D939B14-2D18-4E58-BC03-4F6343B6BB7D}">
    <text>Von Katar</text>
  </threadedComment>
  <threadedComment ref="A10" dT="2022-08-15T13:12:35.01" personId="{1EE9D61C-0D5C-4C93-BCF8-CD86E1B74FD2}" id="{3887A37E-3D1D-4102-BD02-00D921ADD676}">
    <text>Aus Thailand</text>
  </threadedComment>
  <threadedComment ref="A11" dT="2022-08-15T13:15:22.35" personId="{1EE9D61C-0D5C-4C93-BCF8-CD86E1B74FD2}" id="{A80A4BF9-D9FA-4F2C-8C77-4D0934210E38}">
    <text>Aus Perth</text>
  </threadedComment>
</ThreadedComments>
</file>

<file path=xl/threadedComments/threadedComment12.xml><?xml version="1.0" encoding="utf-8"?>
<ThreadedComments xmlns="http://schemas.microsoft.com/office/spreadsheetml/2018/threadedcomments" xmlns:x="http://schemas.openxmlformats.org/spreadsheetml/2006/main">
  <threadedComment ref="D1" dT="2023-02-18T14:08:56.47" personId="{9B297CFB-8C3B-478C-AED0-7E5659070527}" id="{D628CAA7-92F4-4864-8E17-75E11EE73EE0}">
    <text>Nicht relevant</text>
  </threadedComment>
  <threadedComment ref="C3" dT="2022-07-01T15:17:29.97" personId="{1EE9D61C-0D5C-4C93-BCF8-CD86E1B74FD2}" id="{000418BB-2904-4886-A5D9-68B8DECD432F}">
    <text>Aus OpenLCA für RoW, kann auch genauer gemacht werden</text>
  </threadedComment>
  <threadedComment ref="D3" dT="2022-07-01T15:14:27.08" personId="{1EE9D61C-0D5C-4C93-BCF8-CD86E1B74FD2}" id="{7BB92228-53CC-4FB4-921E-BD0668A98CF5}">
    <text>Kohle RoW aus OpenLCA, könnte man auch genauer für jede Region machen</text>
  </threadedComment>
  <threadedComment ref="C4" dT="2022-07-01T15:17:29.97" personId="{1EE9D61C-0D5C-4C93-BCF8-CD86E1B74FD2}" id="{628A3AAF-1211-4353-A7BD-6568186F0EB3}">
    <text>Aus OpenLCA für RoW, kann auch genauer gemacht werden</text>
  </threadedComment>
  <threadedComment ref="D4" dT="2022-07-01T15:14:27.08" personId="{1EE9D61C-0D5C-4C93-BCF8-CD86E1B74FD2}" id="{F0D7C6F0-C152-4789-95C7-6F1C8925EDBD}">
    <text>Kohle RoW aus OpenLCA, könnte man auch genauer für jede Region machen</text>
  </threadedComment>
  <threadedComment ref="C5" dT="2022-07-01T15:17:29.97" personId="{1EE9D61C-0D5C-4C93-BCF8-CD86E1B74FD2}" id="{2CE8DBF6-5B98-4B4E-965B-4A4C1FE28408}">
    <text>Aus OpenLCA für RoW, kann auch genauer gemacht werden</text>
  </threadedComment>
  <threadedComment ref="D5" dT="2022-07-01T15:14:27.08" personId="{1EE9D61C-0D5C-4C93-BCF8-CD86E1B74FD2}" id="{E55352CC-5A50-4AD7-936C-919404ACFA4C}">
    <text>Kohle RoW aus OpenLCA, könnte man auch genauer für jede Region machen</text>
  </threadedComment>
  <threadedComment ref="C6" dT="2022-07-01T15:17:29.97" personId="{1EE9D61C-0D5C-4C93-BCF8-CD86E1B74FD2}" id="{8FB955B2-C4C3-41DA-9F8D-CB9EF4083B00}">
    <text>Aus OpenLCA für RoW, kann auch genauer gemacht werden</text>
  </threadedComment>
  <threadedComment ref="D6" dT="2022-07-01T15:14:27.08" personId="{1EE9D61C-0D5C-4C93-BCF8-CD86E1B74FD2}" id="{D482D560-F246-4A25-919B-E563F8BBA545}">
    <text>Kohle RoW aus OpenLCA, könnte man auch genauer für jede Region machen</text>
  </threadedComment>
  <threadedComment ref="C7" dT="2022-07-01T15:17:29.97" personId="{1EE9D61C-0D5C-4C93-BCF8-CD86E1B74FD2}" id="{CF53772B-72F1-4710-A12E-7B1F8632371C}">
    <text>Aus OpenLCA für RoW, kann auch genauer gemacht werden</text>
  </threadedComment>
  <threadedComment ref="D7" dT="2022-07-01T15:14:27.08" personId="{1EE9D61C-0D5C-4C93-BCF8-CD86E1B74FD2}" id="{BEACFF09-74AE-4685-87CA-1A34160677B8}">
    <text>Kohle RoW aus OpenLCA, könnte man auch genauer für jede Region machen</text>
  </threadedComment>
  <threadedComment ref="C8" dT="2023-02-18T14:08:33.33" personId="{9B297CFB-8C3B-478C-AED0-7E5659070527}" id="{4453A723-69FC-4FC5-90C2-9E6A30C82AF3}">
    <text>Ist Global natural gas. Ist der gleiche Prozess wie norwegen und somit vergleichbar</text>
  </threadedComment>
  <threadedComment ref="D8" dT="2022-07-01T15:14:27.08" personId="{1EE9D61C-0D5C-4C93-BCF8-CD86E1B74FD2}" id="{C7683942-EA9E-494B-BD1C-3D12EBEE5912}">
    <text>Kohle RoW aus OpenLCA, könnte man auch genauer für jede Region machen</text>
  </threadedComment>
  <threadedComment ref="C9" dT="2022-07-01T15:17:29.97" personId="{1EE9D61C-0D5C-4C93-BCF8-CD86E1B74FD2}" id="{E295FA40-375D-4582-A0EC-EEFAC9D7F34B}">
    <text>Aus OpenLCA für RoW, kann auch genauer gemacht werden</text>
  </threadedComment>
  <threadedComment ref="D9" dT="2022-07-01T15:14:27.08" personId="{1EE9D61C-0D5C-4C93-BCF8-CD86E1B74FD2}" id="{273785ED-1238-4A49-8A62-130E5AFEF94D}">
    <text>Kohle RoW aus OpenLCA, könnte man auch genauer für jede Region machen</text>
  </threadedComment>
  <threadedComment ref="C10" dT="2022-07-01T15:17:29.97" personId="{1EE9D61C-0D5C-4C93-BCF8-CD86E1B74FD2}" id="{B7DFDD64-DD18-4ADF-8EFF-F7087DE33057}">
    <text>Aus OpenLCA für RoW, kann auch genauer gemacht werden</text>
  </threadedComment>
  <threadedComment ref="D10" dT="2022-07-01T15:14:27.08" personId="{1EE9D61C-0D5C-4C93-BCF8-CD86E1B74FD2}" id="{35DA22ED-A86C-4D12-9EE3-65DFE215D452}">
    <text>Kohle RoW aus OpenLCA, könnte man auch genauer für jede Region machen</text>
  </threadedComment>
</ThreadedComments>
</file>

<file path=xl/threadedComments/threadedComment13.xml><?xml version="1.0" encoding="utf-8"?>
<ThreadedComments xmlns="http://schemas.microsoft.com/office/spreadsheetml/2018/threadedcomments" xmlns:x="http://schemas.openxmlformats.org/spreadsheetml/2006/main">
  <threadedComment ref="F2" dT="2022-07-08T07:08:08.10" personId="{1EE9D61C-0D5C-4C93-BCF8-CD86E1B74FD2}" id="{E56A202F-4F8B-4857-9542-A7B646A1AE03}">
    <text>Hängt von Wirkungsgrad, elektrischer Leistung und Heizwert ab</text>
  </threadedComment>
  <threadedComment ref="F3" dT="2022-07-08T07:08:08.10" personId="{1EE9D61C-0D5C-4C93-BCF8-CD86E1B74FD2}" id="{4CC28BB2-CD21-4D4D-BE71-6B74192029CB}">
    <text>Hängt von Wirkungsgrad, elektrischer Leistung und Heizwert ab</text>
  </threadedComment>
</ThreadedComments>
</file>

<file path=xl/threadedComments/threadedComment14.xml><?xml version="1.0" encoding="utf-8"?>
<ThreadedComments xmlns="http://schemas.microsoft.com/office/spreadsheetml/2018/threadedcomments" xmlns:x="http://schemas.openxmlformats.org/spreadsheetml/2006/main">
  <threadedComment ref="B5" dT="2022-07-21T15:20:29.30" personId="{1EE9D61C-0D5C-4C93-BCF8-CD86E1B74FD2}" id="{A448122F-118B-4456-860C-137D6E924EC7}">
    <text>Nach Kyoto Protokoll</text>
  </threadedComment>
</ThreadedComments>
</file>

<file path=xl/threadedComments/threadedComment2.xml><?xml version="1.0" encoding="utf-8"?>
<ThreadedComments xmlns="http://schemas.microsoft.com/office/spreadsheetml/2018/threadedcomments" xmlns:x="http://schemas.openxmlformats.org/spreadsheetml/2006/main">
  <threadedComment ref="C2" dT="2022-07-13T16:26:36.78" personId="{1EE9D61C-0D5C-4C93-BCF8-CD86E1B74FD2}" id="{6FE34E5F-C9FA-4CA0-9779-98945FBC011C}">
    <text>1*Emissionsfaktor Wasser Standort</text>
  </threadedComment>
  <threadedComment ref="C3" dT="2022-07-13T16:26:16.17" personId="{1EE9D61C-0D5C-4C93-BCF8-CD86E1B74FD2}" id="{F9C17333-3FE2-4E89-8271-491726892CFA}">
    <text>1*Emissionsfaktor Strom Standort</text>
  </threadedComment>
  <threadedComment ref="C4" dT="2022-07-13T16:26:25.00" personId="{1EE9D61C-0D5C-4C93-BCF8-CD86E1B74FD2}" id="{87515DC9-0D50-49A8-83D6-4F2ED00FC6E1}">
    <text>1*Emissionsfaktor Strom Standort</text>
  </threadedComment>
  <threadedComment ref="C7" dT="2022-07-13T16:26:56.48" personId="{1EE9D61C-0D5C-4C93-BCF8-CD86E1B74FD2}" id="{EA9B0347-384E-4DF7-92D7-AABAE421FEBB}">
    <text>1*Emission Methanbeschaffung Standort</text>
  </threadedComment>
  <threadedComment ref="C12" dT="2022-07-13T16:27:43.74" personId="{1EE9D61C-0D5C-4C93-BCF8-CD86E1B74FD2}" id="{EA5B9124-5AA9-4BDB-BF07-93FED4488953}">
    <text>1*Emission Kohlebeschaffung Standort</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3-02-16T11:38:57.19" personId="{9B297CFB-8C3B-478C-AED0-7E5659070527}" id="{299A2D54-B708-49E3-B9FF-9D56FC2CA282}">
    <text>Am comparative study on… mit 8,33 kWh/kg</text>
  </threadedComment>
  <threadedComment ref="E2" dT="2023-02-16T11:43:59.57" personId="{9B297CFB-8C3B-478C-AED0-7E5659070527}" id="{B02ACA6F-5E08-4F17-AB39-2F15B85DFBB1}" parentId="{299A2D54-B708-49E3-B9FF-9D56FC2CA282}">
    <text>10-11.95 kWh/kg laut assessment of.. S.12 (Mit Primärquelle (55)</text>
  </threadedComment>
  <threadedComment ref="I2" dT="2023-02-15T20:00:33.14" personId="{9B297CFB-8C3B-478C-AED0-7E5659070527}" id="{FDE6E345-A8A6-4206-B28C-CBE50C7B949C}">
    <text>Zwischen 1.66 und 3,75 kWh (Assessment of Hydrogen Delivery Options, S. 19)</text>
  </threadedComment>
  <threadedComment ref="J2" dT="2023-02-16T19:19:37.90" personId="{9B297CFB-8C3B-478C-AED0-7E5659070527}" id="{FC50E2A5-E4DD-4070-ACFA-F69D207ED468}">
    <text>Ggf. über minimalen Energieaufwand</text>
  </threadedComment>
  <threadedComment ref="I10" dT="2023-02-15T20:02:29.55" personId="{9B297CFB-8C3B-478C-AED0-7E5659070527}" id="{B99F6B7B-463C-49A7-8129-3A1E3B9E02AC}">
    <text>Ecoinvent für Ammoniak Production (Eigentlich über SMR…)</text>
  </threadedComment>
  <threadedComment ref="K10" dT="2023-02-15T21:42:56.76" personId="{9B297CFB-8C3B-478C-AED0-7E5659070527}" id="{0AC25B98-D0D7-4E91-86AF-F91CEA484BB0}">
    <text>Es fehlt Fabrik</text>
  </threadedComment>
  <threadedComment ref="I11" dT="2023-02-15T20:00:41.13" personId="{9B297CFB-8C3B-478C-AED0-7E5659070527}" id="{2FA1423F-27FE-4B3A-B00C-4472C18B35F2}">
    <text>Stöchiometrie</text>
  </threadedComment>
  <threadedComment ref="I12" dT="2023-02-15T20:03:36.27" personId="{9B297CFB-8C3B-478C-AED0-7E5659070527}" id="{52B00EC5-B4B6-4585-9BBF-64566E46C4F9}">
    <text>Vernachlässigung, da weitere nur geringfügig</text>
  </threadedComment>
  <threadedComment ref="K15" dT="2023-02-15T21:36:35.40" personId="{9B297CFB-8C3B-478C-AED0-7E5659070527}" id="{47CB8089-0BA5-41C0-8161-C2FF33BBC2AC}">
    <text>https://www.ammoniaenergy.org/articles/round-trip-efficiency-of-ammonia-as-a-renewable-energy-transportation-media/#:~:text=In%20this%20study%2C%20%E2%80%9Cthe%20net,best%20and%20worst%20case%20scenarios.</text>
    <extLst>
      <x:ext xmlns:xltc2="http://schemas.microsoft.com/office/spreadsheetml/2020/threadedcomments2" uri="{F7C98A9C-CBB3-438F-8F68-D28B6AF4A901}">
        <xltc2:checksum>3070027775</xltc2:checksum>
        <xltc2:hyperlink startIndex="0" length="203" url="https://www.ammoniaenergy.org/articles/round-trip-efficiency-of-ammonia-as-a-renewable-energy-transportation-media/#:~:text=In%20this%20study%2C%20%E2%80%9Cthe%20net,best%20and%20worst%20case%20scenarios"/>
      </x:ext>
    </extLst>
  </threadedComment>
  <threadedComment ref="K17" dT="2023-02-15T21:36:24.91" personId="{9B297CFB-8C3B-478C-AED0-7E5659070527}" id="{F8183489-E403-4F46-BFF2-98FAA66CA2F1}">
    <text>https://www.ammoniaenergy.org/articles/round-trip-efficiency-of-ammonia-as-a-renewable-energy-transportation-media/#:~:text=In%20this%20study%2C%20%E2%80%9Cthe%20net,best%20and%20worst%20case%20scenarios.</text>
    <extLst>
      <x:ext xmlns:xltc2="http://schemas.microsoft.com/office/spreadsheetml/2020/threadedcomments2" uri="{F7C98A9C-CBB3-438F-8F68-D28B6AF4A901}">
        <xltc2:checksum>3070027775</xltc2:checksum>
        <xltc2:hyperlink startIndex="0" length="203" url="https://www.ammoniaenergy.org/articles/round-trip-efficiency-of-ammonia-as-a-renewable-energy-transportation-media/#:~:text=In%20this%20study%2C%20%E2%80%9Cthe%20net,best%20and%20worst%20case%20scenarios"/>
      </x:ext>
    </extLst>
  </threadedComment>
  <threadedComment ref="K17" dT="2023-02-15T21:41:03.42" personId="{9B297CFB-8C3B-478C-AED0-7E5659070527}" id="{3FDFB3C6-8509-4F93-A88A-DE0EAD3DDF96}" parentId="{F8183489-E403-4F46-BFF2-98FAA66CA2F1}">
    <text>5.2 kWh/kg Heizwert Ammoniak. 0,3 kWh/kg Ammoniak zum Ammoniak Cracken</text>
  </threadedComment>
  <threadedComment ref="K17" dT="2023-02-15T21:41:27.01" personId="{9B297CFB-8C3B-478C-AED0-7E5659070527}" id="{FDA3379D-9402-4830-A20A-D6F4089DC64D}" parentId="{F8183489-E403-4F46-BFF2-98FAA66CA2F1}">
    <text>Einheiten in Python überprüfen</text>
  </threadedComment>
  <threadedComment ref="K17" dT="2023-02-16T11:55:17.44" personId="{9B297CFB-8C3B-478C-AED0-7E5659070527}" id="{C2BCDB1F-882D-4934-A750-397A3F18A248}" parentId="{F8183489-E403-4F46-BFF2-98FAA66CA2F1}">
    <text xml:space="preserve">15-33% laut Fraunhofer ISI (S.16)
</text>
  </threadedComment>
</ThreadedComments>
</file>

<file path=xl/threadedComments/threadedComment4.xml><?xml version="1.0" encoding="utf-8"?>
<ThreadedComments xmlns="http://schemas.microsoft.com/office/spreadsheetml/2018/threadedcomments" xmlns:x="http://schemas.openxmlformats.org/spreadsheetml/2006/main">
  <threadedComment ref="C2" dT="2022-07-21T16:43:31.83" personId="{1EE9D61C-0D5C-4C93-BCF8-CD86E1B74FD2}" id="{415A3158-A816-46C6-9899-A2805559D441}">
    <text>Multiplikation mit Strommix Produktionsland</text>
  </threadedComment>
  <threadedComment ref="C3" dT="2022-07-21T16:43:49.18" personId="{1EE9D61C-0D5C-4C93-BCF8-CD86E1B74FD2}" id="{0232CA5D-0835-411C-BC97-4E18E2BEBDE0}">
    <text>Multiplikation mit Strommix Deutschland</text>
  </threadedComment>
  <threadedComment ref="C10" dT="2023-02-15T20:43:54.67" personId="{9B297CFB-8C3B-478C-AED0-7E5659070527}" id="{66BF4471-77EC-4789-AA6B-9E5BF83A9CC1}">
    <text>Vergleichsweise viel</text>
  </threadedComment>
  <threadedComment ref="C11" dT="2023-02-15T20:17:21.44" personId="{9B297CFB-8C3B-478C-AED0-7E5659070527}" id="{84D021E8-EE86-4FFF-A2FF-85A6445DADD5}">
    <text>Life cycle energy use and greenhouse gas emissions of ammonia production from renewable resources and industrial by-products  S.9  mit Stöchiometrie verrechnet</text>
  </threadedComment>
</ThreadedComments>
</file>

<file path=xl/threadedComments/threadedComment5.xml><?xml version="1.0" encoding="utf-8"?>
<ThreadedComments xmlns="http://schemas.microsoft.com/office/spreadsheetml/2018/threadedcomments" xmlns:x="http://schemas.openxmlformats.org/spreadsheetml/2006/main">
  <threadedComment ref="D3" dT="2023-02-16T11:25:08.74" personId="{9B297CFB-8C3B-478C-AED0-7E5659070527}" id="{CBE296C6-14DB-4891-9453-B29192948CB1}">
    <text>Bis zu 2,366% am Tag</text>
  </threadedComment>
  <threadedComment ref="D3" dT="2023-02-16T11:27:25.63" personId="{9B297CFB-8C3B-478C-AED0-7E5659070527}" id="{44A47473-730A-4665-81C8-C0622234CC06}" parentId="{CBE296C6-14DB-4891-9453-B29192948CB1}">
    <text xml:space="preserve">A comparative study on energy efficiency of the maritime supply chains for liquefied hydrogen, ammonia, methanol and natural gas (Seite 1)
</text>
  </threadedComment>
  <threadedComment ref="F3" dT="2023-02-16T11:25:20.89" personId="{9B297CFB-8C3B-478C-AED0-7E5659070527}" id="{EF18DED3-774C-4CFB-AC54-212F8BFFAFC5}">
    <text>Weniger als 0,04% pro Tag</text>
  </threadedComment>
  <threadedComment ref="F3" dT="2023-02-16T11:26:16.70" personId="{9B297CFB-8C3B-478C-AED0-7E5659070527}" id="{2EA6587C-6803-4D16-A074-D98F0F9CA176}" parentId="{EF18DED3-774C-4CFB-AC54-212F8BFFAFC5}">
    <text>Assessment of Hydrogen Delivery Options</text>
  </threadedComment>
</ThreadedComments>
</file>

<file path=xl/threadedComments/threadedComment6.xml><?xml version="1.0" encoding="utf-8"?>
<ThreadedComments xmlns="http://schemas.microsoft.com/office/spreadsheetml/2018/threadedcomments" xmlns:x="http://schemas.openxmlformats.org/spreadsheetml/2006/main">
  <threadedComment ref="G201" dT="2023-02-18T13:59:55.98" personId="{9B297CFB-8C3B-478C-AED0-7E5659070527}" id="{40389D48-A00E-4279-B254-79150C23BAA4}">
    <text>Es wird über dänisches Erdgas auf Norwegen geschlossen über die Emissionen von norwegischem Gas durch den Anteil von norwegischem Gas im Import</text>
  </threadedComment>
  <threadedComment ref="G201" dT="2023-02-18T14:00:21.01" personId="{9B297CFB-8C3B-478C-AED0-7E5659070527}" id="{C91D26E0-3CC1-4989-BFDA-F329DA28F58D}" parentId="{40389D48-A00E-4279-B254-79150C23BAA4}">
    <text>Ergebnis ist noch in Nm3 und muss über Dichte umgerechnet werden</text>
  </threadedComment>
</ThreadedComments>
</file>

<file path=xl/threadedComments/threadedComment7.xml><?xml version="1.0" encoding="utf-8"?>
<ThreadedComments xmlns="http://schemas.microsoft.com/office/spreadsheetml/2018/threadedcomments" xmlns:x="http://schemas.openxmlformats.org/spreadsheetml/2006/main">
  <threadedComment ref="C8" dT="2023-02-16T11:16:18.07" personId="{9B297CFB-8C3B-478C-AED0-7E5659070527}" id="{8F2EE396-ABBE-49B4-B895-7A1D5E96AEB3}">
    <text>Werte aus A comparative study on energy efficiency of the maritime sector...</text>
  </threadedComment>
  <threadedComment ref="C8" dT="2023-02-16T11:16:29.20" personId="{9B297CFB-8C3B-478C-AED0-7E5659070527}" id="{3C4B9421-5F64-449C-858A-F387C7458B1B}" parentId="{8F2EE396-ABBE-49B4-B895-7A1D5E96AEB3}">
    <text>Seite 3</text>
  </threadedComment>
</ThreadedComments>
</file>

<file path=xl/threadedComments/threadedComment8.xml><?xml version="1.0" encoding="utf-8"?>
<ThreadedComments xmlns="http://schemas.microsoft.com/office/spreadsheetml/2018/threadedcomments" xmlns:x="http://schemas.openxmlformats.org/spreadsheetml/2006/main">
  <threadedComment ref="A3" dT="2022-08-15T12:54:29.01" personId="{1EE9D61C-0D5C-4C93-BCF8-CD86E1B74FD2}" id="{40908927-0A3D-4F54-8B95-6211F52A3722}">
    <text>Bergen (Norwegen) als Startpunkt)</text>
  </threadedComment>
  <threadedComment ref="A4" dT="2022-08-15T12:56:28.01" personId="{1EE9D61C-0D5C-4C93-BCF8-CD86E1B74FD2}" id="{A2580BAF-87D9-4171-A008-C14E59D9B6B5}">
    <text>Von Felixtowe</text>
  </threadedComment>
  <threadedComment ref="A5" dT="2022-08-15T13:00:03.89" personId="{1EE9D61C-0D5C-4C93-BCF8-CD86E1B74FD2}" id="{7438980F-1CC9-41F7-B6D7-D2F1DCD82FA5}">
    <text>Von Madrid</text>
  </threadedComment>
  <threadedComment ref="A6" dT="2022-08-15T12:58:13.93" personId="{1EE9D61C-0D5C-4C93-BCF8-CD86E1B74FD2}" id="{8EB45880-8B3A-46A9-9B2B-A299FF74353A}">
    <text>Von Algier</text>
  </threadedComment>
  <threadedComment ref="A7" dT="2022-08-15T13:08:20.44" personId="{1EE9D61C-0D5C-4C93-BCF8-CD86E1B74FD2}" id="{501CF994-6B30-4551-9665-C95436376FBA}">
    <text>Von Accra (Ghana)</text>
  </threadedComment>
  <threadedComment ref="A8" dT="2022-08-15T13:08:35.13" personId="{1EE9D61C-0D5C-4C93-BCF8-CD86E1B74FD2}" id="{757A07E6-4353-4596-B2D3-FAEACFD38511}">
    <text>Von Katar</text>
  </threadedComment>
  <threadedComment ref="A9" dT="2022-08-15T13:12:35.01" personId="{1EE9D61C-0D5C-4C93-BCF8-CD86E1B74FD2}" id="{F5E84FBD-60E3-4D19-BA03-2D8F146FE29E}">
    <text>Aus Thailand</text>
  </threadedComment>
  <threadedComment ref="A10" dT="2022-08-15T13:15:22.35" personId="{1EE9D61C-0D5C-4C93-BCF8-CD86E1B74FD2}" id="{1DCD4EF1-15F0-4418-9ED6-513D82A1C92B}">
    <text>Aus Perth</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22-08-17T07:41:35.57" personId="{1EE9D61C-0D5C-4C93-BCF8-CD86E1B74FD2}" id="{F8B2ECE5-EE18-4D73-94F9-D3D568A4553E}">
    <text>https://de.statista.com/statistik/daten/studie/197025/umfrage/bruttostromerzeugung-in-deutschland-nach-energietraegern/</text>
  </threadedComment>
  <threadedComment ref="A3" dT="2022-08-17T07:45:36.26" personId="{1EE9D61C-0D5C-4C93-BCF8-CD86E1B74FD2}" id="{11E67DBE-945C-4D42-86BC-20F2A5C20A26}">
    <text>Aus dena Leitstudie</text>
  </threadedComment>
  <threadedComment ref="A4" dT="2022-08-17T07:48:28.86" personId="{1EE9D61C-0D5C-4C93-BCF8-CD86E1B74FD2}" id="{767B9E27-3204-492C-8978-D776CCEA648E}">
    <text>Strommix Norwegen https://de.statista.com/statistik/daten/studie/1292636/umfrage/struktur-der-stromerzeugung-in-norwegen/</text>
  </threadedComment>
  <threadedComment ref="A6" dT="2022-08-17T07:59:06.16" personId="{1EE9D61C-0D5C-4C93-BCF8-CD86E1B74FD2}" id="{A503BF87-7816-4714-A471-7B8973C45AAF}">
    <text>https://de.statista.com/statistik/daten/studie/218659/umfrage/stromerzeugung-in-grossbritannien-nach-energietraeger/</text>
  </threadedComment>
  <threadedComment ref="A7" dT="2022-11-11T17:13:15.85" personId="{E672ADB9-4926-47D7-B33F-694524EBEEAD}" id="{A5F1872E-1D0C-4B3C-89C6-9D8E5F8B3843}">
    <text>https://www.nsenergybusiness.com/news/uk-renewable-energy-capacity-2030/</text>
  </threadedComment>
  <threadedComment ref="A8" dT="2022-08-17T08:04:58.12" personId="{1EE9D61C-0D5C-4C93-BCF8-CD86E1B74FD2}" id="{BD062106-9717-4CBB-A297-E31860C84588}">
    <text>https://de.statista.com/statistik/daten/studie/182175/umfrage/struktur-der-bruttostromerzeugung-in-spanien/</text>
  </threadedComment>
  <threadedComment ref="A9" dT="2022-11-11T13:38:11.60" personId="{E672ADB9-4926-47D7-B33F-694524EBEEAD}" id="{C25FD070-C19C-4001-87E0-B4E792554F17}">
    <text>https://www.researchgate.net/publication/340614088_Life_Cycle_Sustainability_Assessment_of_the_Spanish_Electricity_Past_Present_and_Future_Projections/link/5e95248ea6fdcca7891549d2/download</text>
  </threadedComment>
  <threadedComment ref="A10" dT="2022-08-17T08:16:04.82" personId="{1EE9D61C-0D5C-4C93-BCF8-CD86E1B74FD2}" id="{042F0933-E632-4CDF-9980-DE7E041C1693}">
    <text>https://de.wikipedia.org/wiki/Algerien#Energiewirtschaft</text>
  </threadedComment>
  <threadedComment ref="A10" dT="2022-08-17T08:24:09.12" personId="{1EE9D61C-0D5C-4C93-BCF8-CD86E1B74FD2}" id="{68B4F626-59D0-4F85-A2CB-21CA0143B2E3}" parentId="{042F0933-E632-4CDF-9980-DE7E041C1693}">
    <text>Algerien</text>
  </threadedComment>
  <threadedComment ref="A11" dT="2022-11-11T13:18:08.28" personId="{E672ADB9-4926-47D7-B33F-694524EBEEAD}" id="{F87BA2C2-A8C2-456C-B09F-1F33343736E9}">
    <text>https://www.mei.edu/publications/algeria-charts-path-renewable-energy-sector-development</text>
  </threadedComment>
  <threadedComment ref="A12" dT="2022-11-11T14:01:21.19" personId="{E672ADB9-4926-47D7-B33F-694524EBEEAD}" id="{E3924D5D-C73F-4CBE-AF36-16F9D4685DBD}">
    <text>https://www.iea.org/articles/ghana-energy-outlook</text>
  </threadedComment>
  <threadedComment ref="A13" dT="2022-11-11T14:01:27.81" personId="{E672ADB9-4926-47D7-B33F-694524EBEEAD}" id="{89E918B7-0DEC-4923-9E2D-3E4E299B2215}">
    <text>https://www.iea.org/articles/ghana-energy-outlook</text>
  </threadedComment>
  <threadedComment ref="A14" dT="2022-08-17T08:41:17.52" personId="{1EE9D61C-0D5C-4C93-BCF8-CD86E1B74FD2}" id="{D06CD7F0-9042-40F1-B8FF-BE6198CEA698}">
    <text>https://www.iwr.de/news/energiekonzern-total-entwickelt-800-mw-solarkraftwerk-in-katar-news36516</text>
  </threadedComment>
  <threadedComment ref="A15" dT="2022-08-17T08:41:29.36" personId="{1EE9D61C-0D5C-4C93-BCF8-CD86E1B74FD2}" id="{59136E96-F67C-442B-8B4A-F61B31DA9697}">
    <text>https://www.iwr.de/news/energiekonzern-total-entwickelt-800-mw-solarkraftwerk-in-katar-news36516</text>
  </threadedComment>
  <threadedComment ref="A16" dT="2022-08-17T08:46:20.59" personId="{1EE9D61C-0D5C-4C93-BCF8-CD86E1B74FD2}" id="{C30C16E4-01C7-493F-AF51-337F80972396}">
    <text>https://www.next-kraftwerke.de/energie-blog/energiewirtschaft-thailand</text>
  </threadedComment>
  <threadedComment ref="A17" dT="2022-08-17T08:48:26.15" personId="{1EE9D61C-0D5C-4C93-BCF8-CD86E1B74FD2}" id="{20958302-99A1-43A7-A8E8-B9EEF2A93FF4}">
    <text>https://www.next-kraftwerke.de/energie-blog/energiewirtschaft-thailand</text>
  </threadedComment>
  <threadedComment ref="A18" dT="2022-08-17T09:23:40.90" personId="{1EE9D61C-0D5C-4C93-BCF8-CD86E1B74FD2}" id="{ED763AA1-0714-440F-B95B-35D72FC300E3}">
    <text>https://www.laenderdaten.info/Australien/Australien/energiehaushalt.php</text>
  </threadedComment>
  <threadedComment ref="A19" dT="2022-11-11T17:06:23.67" personId="{E672ADB9-4926-47D7-B33F-694524EBEEAD}" id="{588FFAFE-1F03-4B3A-8D05-BA11D60F972E}">
    <text>https://www.pinsentmasons.com/out-law/analysis/powering-australia-australias-energy-mix-in-a-decarbonising-world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5.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7.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7.x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8C80-602E-49FD-93F7-D420E736B360}">
  <dimension ref="B2:E19"/>
  <sheetViews>
    <sheetView workbookViewId="0">
      <selection activeCell="B16" sqref="B16"/>
    </sheetView>
  </sheetViews>
  <sheetFormatPr baseColWidth="10" defaultRowHeight="14.4" x14ac:dyDescent="0.3"/>
  <cols>
    <col min="2" max="2" width="26.88671875" bestFit="1" customWidth="1"/>
    <col min="3" max="3" width="70.109375" bestFit="1" customWidth="1"/>
    <col min="4" max="4" width="12.109375" bestFit="1" customWidth="1"/>
  </cols>
  <sheetData>
    <row r="2" spans="2:5" x14ac:dyDescent="0.3">
      <c r="B2" s="8" t="s">
        <v>233</v>
      </c>
      <c r="C2" s="8" t="s">
        <v>234</v>
      </c>
      <c r="D2" s="8" t="s">
        <v>262</v>
      </c>
      <c r="E2" s="8"/>
    </row>
    <row r="3" spans="2:5" x14ac:dyDescent="0.3">
      <c r="B3" s="35" t="s">
        <v>235</v>
      </c>
      <c r="C3" t="s">
        <v>236</v>
      </c>
      <c r="D3" t="s">
        <v>263</v>
      </c>
    </row>
    <row r="4" spans="2:5" x14ac:dyDescent="0.3">
      <c r="B4" s="36" t="s">
        <v>237</v>
      </c>
      <c r="C4" t="s">
        <v>238</v>
      </c>
      <c r="D4" t="s">
        <v>264</v>
      </c>
    </row>
    <row r="5" spans="2:5" x14ac:dyDescent="0.3">
      <c r="B5" s="34" t="s">
        <v>239</v>
      </c>
      <c r="C5" t="s">
        <v>240</v>
      </c>
      <c r="D5" t="s">
        <v>264</v>
      </c>
    </row>
    <row r="6" spans="2:5" x14ac:dyDescent="0.3">
      <c r="B6" s="34" t="s">
        <v>241</v>
      </c>
      <c r="C6" t="s">
        <v>265</v>
      </c>
      <c r="D6" t="s">
        <v>264</v>
      </c>
    </row>
    <row r="7" spans="2:5" x14ac:dyDescent="0.3">
      <c r="B7" s="35" t="s">
        <v>242</v>
      </c>
      <c r="C7" t="s">
        <v>243</v>
      </c>
      <c r="D7" t="s">
        <v>264</v>
      </c>
    </row>
    <row r="8" spans="2:5" x14ac:dyDescent="0.3">
      <c r="B8" s="33" t="s">
        <v>244</v>
      </c>
      <c r="C8" t="s">
        <v>245</v>
      </c>
      <c r="D8" t="s">
        <v>264</v>
      </c>
    </row>
    <row r="9" spans="2:5" x14ac:dyDescent="0.3">
      <c r="B9" s="33" t="s">
        <v>246</v>
      </c>
      <c r="C9" t="s">
        <v>247</v>
      </c>
      <c r="D9" t="s">
        <v>264</v>
      </c>
    </row>
    <row r="10" spans="2:5" x14ac:dyDescent="0.3">
      <c r="B10" s="33" t="s">
        <v>248</v>
      </c>
      <c r="C10" t="s">
        <v>249</v>
      </c>
      <c r="D10" t="s">
        <v>263</v>
      </c>
    </row>
    <row r="11" spans="2:5" x14ac:dyDescent="0.3">
      <c r="B11" s="34" t="s">
        <v>250</v>
      </c>
      <c r="C11" t="s">
        <v>251</v>
      </c>
      <c r="D11" t="s">
        <v>263</v>
      </c>
    </row>
    <row r="12" spans="2:5" x14ac:dyDescent="0.3">
      <c r="B12" s="33" t="s">
        <v>252</v>
      </c>
      <c r="C12" t="s">
        <v>253</v>
      </c>
      <c r="D12" t="s">
        <v>263</v>
      </c>
    </row>
    <row r="13" spans="2:5" x14ac:dyDescent="0.3">
      <c r="B13" s="33" t="s">
        <v>254</v>
      </c>
      <c r="C13" t="s">
        <v>295</v>
      </c>
      <c r="D13" t="s">
        <v>264</v>
      </c>
    </row>
    <row r="14" spans="2:5" x14ac:dyDescent="0.3">
      <c r="B14" s="33" t="s">
        <v>255</v>
      </c>
      <c r="C14" t="s">
        <v>256</v>
      </c>
      <c r="D14" t="s">
        <v>256</v>
      </c>
    </row>
    <row r="15" spans="2:5" x14ac:dyDescent="0.3">
      <c r="B15" s="33" t="s">
        <v>277</v>
      </c>
      <c r="C15" t="s">
        <v>296</v>
      </c>
      <c r="D15" t="s">
        <v>264</v>
      </c>
    </row>
    <row r="16" spans="2:5" x14ac:dyDescent="0.3">
      <c r="B16" s="33" t="s">
        <v>278</v>
      </c>
      <c r="C16" t="s">
        <v>279</v>
      </c>
      <c r="D16" t="s">
        <v>264</v>
      </c>
    </row>
    <row r="17" spans="2:4" x14ac:dyDescent="0.3">
      <c r="B17" s="33" t="s">
        <v>257</v>
      </c>
      <c r="C17" t="s">
        <v>297</v>
      </c>
      <c r="D17" t="s">
        <v>264</v>
      </c>
    </row>
    <row r="18" spans="2:4" x14ac:dyDescent="0.3">
      <c r="B18" s="33" t="s">
        <v>258</v>
      </c>
      <c r="C18" t="s">
        <v>259</v>
      </c>
      <c r="D18" t="s">
        <v>264</v>
      </c>
    </row>
    <row r="19" spans="2:4" x14ac:dyDescent="0.3">
      <c r="B19" s="33" t="s">
        <v>260</v>
      </c>
      <c r="C19" t="s">
        <v>261</v>
      </c>
      <c r="D19" t="s">
        <v>264</v>
      </c>
    </row>
  </sheetData>
  <hyperlinks>
    <hyperlink ref="B3" location="Übersicht!A1" display="Übersicht" xr:uid="{7DDA5932-4D0F-4EEF-931F-EFB79610B28F}"/>
    <hyperlink ref="B4" location="'H2 Produktion_Input'!A1" display="'H2 Produktion_Input" xr:uid="{75D40100-7B30-4DCC-9E1A-E28474672987}"/>
    <hyperlink ref="B5" location="'H2 Produktion_Input_Wirkung'!A1" display="'H2 Produktion_Input_Wirkung" xr:uid="{F83A67CE-2F33-46AF-BA3A-A6F51D9BFE48}"/>
    <hyperlink ref="B6" location="'H2 Produktion_Output'!A1" display="'H2 Produktion_Output" xr:uid="{3AB95F01-DB45-493D-8B82-5860E0C4A12E}"/>
    <hyperlink ref="B7" location="Umwandlungen_Input!A1" display="Umwandlungen_Input" xr:uid="{2668D544-B8F9-440A-A27B-C32086BD91E0}"/>
    <hyperlink ref="B8" location="Umwandlungen_Input_Wirkung!A1" display="Umwandlungen_Input_Wirkung" xr:uid="{AAE4CB9C-7CA6-4E82-A58B-3FAC4CA36D85}"/>
    <hyperlink ref="B9" location="Transport_Output_Wirkung!A1" display="Transport_Output_Wirkung" xr:uid="{0932F342-5948-4676-B4FC-FC80D135C4CE}"/>
    <hyperlink ref="B10" location="Transport_Korrekturfaktoren!A1" display="Transport_Korrekturfaktoren" xr:uid="{3E585038-2F82-40F3-93F6-FDE4C9E48EDB}"/>
    <hyperlink ref="B11" location="'OpenLCA Ergebnisse'!A1" display="'OpenLCA Ergebnisse" xr:uid="{56DC4688-2C0B-41D7-9E1C-FE87C76C8A6E}"/>
    <hyperlink ref="B12" location="Umrechnungsparameter!A1" display="Umrechnungsparameter" xr:uid="{00A47C90-68E1-4BE3-808C-5854264F5866}"/>
    <hyperlink ref="B13" location="Entfernungen!A1" display="Entfernungen" xr:uid="{5B55E861-1D07-4E8F-8F8A-15B465EE2804}"/>
    <hyperlink ref="B14" location="Preise!A1" display="Preise" xr:uid="{D5899813-9A52-4B33-9C67-D36359164F69}"/>
    <hyperlink ref="B15" location="Strommix_Regionen!A1" display="Strommix_Regionen" xr:uid="{C7E7D104-1BF8-4C60-938F-655BC5516B41}"/>
    <hyperlink ref="B16" location="GWP_Strom!A1" display="GWP_Strom" xr:uid="{933172CA-1307-4307-98A1-B1B1A896FAEF}"/>
    <hyperlink ref="B17" location="GWP_Rohstoffe_Regionen!A1" display="GWP_Rohstoffe_Regionen" xr:uid="{7B9E330D-EE44-40D9-BD16-B9976B048B17}"/>
    <hyperlink ref="B18" location="Auslastung_Wirkungsgrad!A1" display="Auslastung_Wirkungsgrad" xr:uid="{DCFB9D86-4FDC-4A3B-BACA-72D9C81E6298}"/>
    <hyperlink ref="B19" location="Charakterisierungsmatrix!A1" display="Charakterisierungsmatrix" xr:uid="{BFCB6C59-5523-48C8-9225-4EB45DEA2331}"/>
  </hyperlinks>
  <pageMargins left="0.7" right="0.7" top="0.78740157499999996" bottom="0.78740157499999996"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BFD2-0094-42A2-9ED5-5135FC39E82F}">
  <sheetPr>
    <tabColor theme="8" tint="0.59999389629810485"/>
  </sheetPr>
  <dimension ref="A1:K214"/>
  <sheetViews>
    <sheetView topLeftCell="A169" workbookViewId="0">
      <selection activeCell="D196" sqref="D196"/>
    </sheetView>
  </sheetViews>
  <sheetFormatPr baseColWidth="10" defaultRowHeight="14.4" x14ac:dyDescent="0.3"/>
  <cols>
    <col min="2" max="2" width="32.5546875" bestFit="1" customWidth="1"/>
    <col min="7" max="7" width="31.5546875" bestFit="1" customWidth="1"/>
    <col min="8" max="8" width="26" customWidth="1"/>
  </cols>
  <sheetData>
    <row r="1" spans="1:10" x14ac:dyDescent="0.3">
      <c r="A1" s="33" t="s">
        <v>266</v>
      </c>
    </row>
    <row r="2" spans="1:10" x14ac:dyDescent="0.3">
      <c r="B2" t="s">
        <v>87</v>
      </c>
      <c r="C2" t="s">
        <v>50</v>
      </c>
      <c r="G2" t="s">
        <v>11</v>
      </c>
      <c r="H2" t="s">
        <v>52</v>
      </c>
    </row>
    <row r="3" spans="1:10" x14ac:dyDescent="0.3">
      <c r="B3" t="s">
        <v>39</v>
      </c>
      <c r="C3" t="s">
        <v>0</v>
      </c>
      <c r="D3" t="s">
        <v>40</v>
      </c>
      <c r="E3" t="s">
        <v>9</v>
      </c>
      <c r="G3" t="s">
        <v>39</v>
      </c>
      <c r="H3" t="s">
        <v>0</v>
      </c>
      <c r="I3" t="s">
        <v>40</v>
      </c>
      <c r="J3" t="s">
        <v>9</v>
      </c>
    </row>
    <row r="4" spans="1:10" x14ac:dyDescent="0.3">
      <c r="B4" s="13">
        <v>1</v>
      </c>
      <c r="C4" t="s">
        <v>41</v>
      </c>
      <c r="D4" s="14">
        <v>64758.2</v>
      </c>
      <c r="E4" t="s">
        <v>42</v>
      </c>
      <c r="G4" s="13">
        <v>1</v>
      </c>
      <c r="H4" t="s">
        <v>41</v>
      </c>
      <c r="I4" s="14">
        <v>733422</v>
      </c>
      <c r="J4" t="s">
        <v>51</v>
      </c>
    </row>
    <row r="5" spans="1:10" x14ac:dyDescent="0.3">
      <c r="B5" s="13">
        <v>0.62919999999999998</v>
      </c>
      <c r="C5" t="s">
        <v>43</v>
      </c>
      <c r="D5" s="14">
        <v>40746.1</v>
      </c>
      <c r="E5" t="s">
        <v>42</v>
      </c>
      <c r="G5" s="13">
        <v>0.5968</v>
      </c>
      <c r="H5" t="s">
        <v>43</v>
      </c>
      <c r="I5" s="14">
        <v>437672</v>
      </c>
      <c r="J5" t="s">
        <v>51</v>
      </c>
    </row>
    <row r="6" spans="1:10" x14ac:dyDescent="0.3">
      <c r="B6" s="13">
        <v>0.221</v>
      </c>
      <c r="C6" t="s">
        <v>44</v>
      </c>
      <c r="D6" s="14">
        <v>14313.3</v>
      </c>
      <c r="E6" t="s">
        <v>42</v>
      </c>
      <c r="G6" s="13">
        <v>0.3387</v>
      </c>
      <c r="H6" t="s">
        <v>44</v>
      </c>
      <c r="I6" s="14">
        <v>248401</v>
      </c>
      <c r="J6" t="s">
        <v>51</v>
      </c>
    </row>
    <row r="7" spans="1:10" x14ac:dyDescent="0.3">
      <c r="B7" s="13">
        <v>0.11509999999999999</v>
      </c>
      <c r="C7" t="s">
        <v>45</v>
      </c>
      <c r="D7">
        <v>7451.8998899999997</v>
      </c>
      <c r="E7" t="s">
        <v>42</v>
      </c>
      <c r="G7" s="13">
        <v>4.7600000000000003E-2</v>
      </c>
      <c r="H7" t="s">
        <v>45</v>
      </c>
      <c r="I7" s="14">
        <v>34902.300000000003</v>
      </c>
      <c r="J7" t="s">
        <v>51</v>
      </c>
    </row>
    <row r="8" spans="1:10" x14ac:dyDescent="0.3">
      <c r="B8" s="13">
        <v>1.23E-2</v>
      </c>
      <c r="C8" t="s">
        <v>46</v>
      </c>
      <c r="D8">
        <v>799.71014000000002</v>
      </c>
      <c r="E8" t="s">
        <v>42</v>
      </c>
      <c r="G8" s="13">
        <v>5.5999999999999999E-3</v>
      </c>
      <c r="H8" t="s">
        <v>46</v>
      </c>
      <c r="I8">
        <v>4073.2812199999998</v>
      </c>
      <c r="J8" t="s">
        <v>51</v>
      </c>
    </row>
    <row r="9" spans="1:10" x14ac:dyDescent="0.3">
      <c r="B9" s="13">
        <v>8.8000000000000005E-3</v>
      </c>
      <c r="C9" t="s">
        <v>47</v>
      </c>
      <c r="D9">
        <v>570.45704000000001</v>
      </c>
      <c r="E9" t="s">
        <v>42</v>
      </c>
      <c r="G9" s="13">
        <v>4.7000000000000002E-3</v>
      </c>
      <c r="H9" t="s">
        <v>48</v>
      </c>
      <c r="I9">
        <v>3412.0407799999998</v>
      </c>
      <c r="J9" t="s">
        <v>51</v>
      </c>
    </row>
    <row r="10" spans="1:10" x14ac:dyDescent="0.3">
      <c r="B10" s="13">
        <v>8.0000000000000002E-3</v>
      </c>
      <c r="C10" t="s">
        <v>48</v>
      </c>
      <c r="D10">
        <v>516.71241999999995</v>
      </c>
      <c r="E10" t="s">
        <v>42</v>
      </c>
      <c r="G10" s="13">
        <v>3.3999999999999998E-3</v>
      </c>
      <c r="H10" t="s">
        <v>49</v>
      </c>
      <c r="I10">
        <v>2521.4818300000002</v>
      </c>
      <c r="J10" t="s">
        <v>51</v>
      </c>
    </row>
    <row r="11" spans="1:10" x14ac:dyDescent="0.3">
      <c r="B11" s="13">
        <v>5.5999999999999999E-3</v>
      </c>
      <c r="C11" t="s">
        <v>49</v>
      </c>
      <c r="D11">
        <v>360.01477999999997</v>
      </c>
      <c r="E11" t="s">
        <v>42</v>
      </c>
      <c r="G11" s="13">
        <v>3.3E-3</v>
      </c>
      <c r="H11" t="s">
        <v>47</v>
      </c>
      <c r="I11">
        <v>2439.94002</v>
      </c>
      <c r="J11" t="s">
        <v>51</v>
      </c>
    </row>
    <row r="13" spans="1:10" x14ac:dyDescent="0.3">
      <c r="B13" t="s">
        <v>88</v>
      </c>
      <c r="C13" t="s">
        <v>50</v>
      </c>
      <c r="G13" t="s">
        <v>10</v>
      </c>
      <c r="H13" t="s">
        <v>52</v>
      </c>
    </row>
    <row r="14" spans="1:10" x14ac:dyDescent="0.3">
      <c r="B14" t="s">
        <v>39</v>
      </c>
      <c r="C14" t="s">
        <v>0</v>
      </c>
      <c r="D14" t="s">
        <v>40</v>
      </c>
      <c r="E14" t="s">
        <v>9</v>
      </c>
      <c r="G14" t="s">
        <v>39</v>
      </c>
      <c r="H14" t="s">
        <v>0</v>
      </c>
      <c r="I14" t="s">
        <v>40</v>
      </c>
      <c r="J14" t="s">
        <v>9</v>
      </c>
    </row>
    <row r="15" spans="1:10" x14ac:dyDescent="0.3">
      <c r="B15" s="13">
        <v>1</v>
      </c>
      <c r="C15" t="s">
        <v>53</v>
      </c>
      <c r="D15" s="14">
        <v>24058.6</v>
      </c>
      <c r="E15" t="s">
        <v>42</v>
      </c>
      <c r="G15" s="13">
        <v>1</v>
      </c>
      <c r="H15" t="s">
        <v>53</v>
      </c>
      <c r="I15" s="14">
        <v>1152910</v>
      </c>
      <c r="J15" t="s">
        <v>51</v>
      </c>
    </row>
    <row r="16" spans="1:10" x14ac:dyDescent="0.3">
      <c r="B16" s="13">
        <v>0.65880000000000005</v>
      </c>
      <c r="C16" t="s">
        <v>54</v>
      </c>
      <c r="D16" s="14">
        <v>15849.9</v>
      </c>
      <c r="E16" t="s">
        <v>42</v>
      </c>
      <c r="G16" s="13">
        <v>0.90990000000000004</v>
      </c>
      <c r="H16" t="s">
        <v>55</v>
      </c>
      <c r="I16" s="14">
        <v>1049050</v>
      </c>
      <c r="J16" t="s">
        <v>51</v>
      </c>
    </row>
    <row r="17" spans="2:10" x14ac:dyDescent="0.3">
      <c r="B17" s="13">
        <v>0.26519999999999999</v>
      </c>
      <c r="C17" t="s">
        <v>55</v>
      </c>
      <c r="D17">
        <v>6380.5772100000004</v>
      </c>
      <c r="E17" t="s">
        <v>42</v>
      </c>
      <c r="G17" s="13">
        <v>8.7400000000000005E-2</v>
      </c>
      <c r="H17" t="s">
        <v>54</v>
      </c>
      <c r="I17" s="14">
        <v>100731</v>
      </c>
      <c r="J17" t="s">
        <v>51</v>
      </c>
    </row>
    <row r="18" spans="2:10" x14ac:dyDescent="0.3">
      <c r="B18" s="13">
        <v>5.2200000000000003E-2</v>
      </c>
      <c r="C18" t="s">
        <v>56</v>
      </c>
      <c r="D18">
        <v>1256.82071</v>
      </c>
      <c r="E18" t="s">
        <v>42</v>
      </c>
      <c r="G18" s="13">
        <v>1.6000000000000001E-3</v>
      </c>
      <c r="H18" t="s">
        <v>45</v>
      </c>
      <c r="I18">
        <v>1836.9635900000001</v>
      </c>
      <c r="J18" t="s">
        <v>51</v>
      </c>
    </row>
    <row r="19" spans="2:10" x14ac:dyDescent="0.3">
      <c r="B19" s="13">
        <v>1.6299999999999999E-2</v>
      </c>
      <c r="C19" t="s">
        <v>45</v>
      </c>
      <c r="D19">
        <v>392.20526000000001</v>
      </c>
      <c r="E19" t="s">
        <v>42</v>
      </c>
      <c r="G19" s="13">
        <v>5.9999999999999995E-4</v>
      </c>
      <c r="H19" t="s">
        <v>47</v>
      </c>
      <c r="I19">
        <v>658.78381000000002</v>
      </c>
      <c r="J19" t="s">
        <v>51</v>
      </c>
    </row>
    <row r="20" spans="2:10" x14ac:dyDescent="0.3">
      <c r="B20" s="13">
        <v>6.4000000000000003E-3</v>
      </c>
      <c r="C20" t="s">
        <v>47</v>
      </c>
      <c r="D20">
        <v>154.02340000000001</v>
      </c>
      <c r="E20" t="s">
        <v>42</v>
      </c>
      <c r="G20" s="13">
        <v>4.0000000000000002E-4</v>
      </c>
      <c r="H20" t="s">
        <v>56</v>
      </c>
      <c r="I20">
        <v>492.99486000000002</v>
      </c>
      <c r="J20" t="s">
        <v>51</v>
      </c>
    </row>
    <row r="21" spans="2:10" x14ac:dyDescent="0.3">
      <c r="B21" s="13">
        <v>6.9999999999999999E-4</v>
      </c>
      <c r="C21" t="s">
        <v>49</v>
      </c>
      <c r="D21">
        <v>16.200659999999999</v>
      </c>
      <c r="E21" t="s">
        <v>42</v>
      </c>
      <c r="G21" s="13">
        <v>1E-4</v>
      </c>
      <c r="H21" t="s">
        <v>49</v>
      </c>
      <c r="I21">
        <v>113.46668</v>
      </c>
      <c r="J21" t="s">
        <v>51</v>
      </c>
    </row>
    <row r="22" spans="2:10" x14ac:dyDescent="0.3">
      <c r="B22" s="13">
        <v>2.9999999999999997E-4</v>
      </c>
      <c r="C22" t="s">
        <v>57</v>
      </c>
      <c r="D22">
        <v>7.5468799999999998</v>
      </c>
      <c r="E22" t="s">
        <v>42</v>
      </c>
      <c r="G22" s="13">
        <v>0</v>
      </c>
      <c r="H22" t="s">
        <v>57</v>
      </c>
      <c r="I22">
        <v>17.46191</v>
      </c>
      <c r="J22" t="s">
        <v>51</v>
      </c>
    </row>
    <row r="23" spans="2:10" x14ac:dyDescent="0.3">
      <c r="B23" s="13">
        <v>1E-4</v>
      </c>
      <c r="C23" t="s">
        <v>58</v>
      </c>
      <c r="D23">
        <v>1.3387500000000001</v>
      </c>
      <c r="E23" t="s">
        <v>42</v>
      </c>
      <c r="G23" s="13">
        <v>0</v>
      </c>
      <c r="H23" t="s">
        <v>58</v>
      </c>
      <c r="I23">
        <v>5.1484199999999998</v>
      </c>
      <c r="J23" t="s">
        <v>51</v>
      </c>
    </row>
    <row r="25" spans="2:10" x14ac:dyDescent="0.3">
      <c r="B25" t="s">
        <v>68</v>
      </c>
      <c r="C25" t="s">
        <v>50</v>
      </c>
      <c r="G25" t="s">
        <v>74</v>
      </c>
      <c r="H25" t="s">
        <v>50</v>
      </c>
    </row>
    <row r="26" spans="2:10" x14ac:dyDescent="0.3">
      <c r="B26" t="s">
        <v>39</v>
      </c>
      <c r="C26" t="s">
        <v>0</v>
      </c>
      <c r="D26" t="s">
        <v>40</v>
      </c>
      <c r="E26" t="s">
        <v>9</v>
      </c>
      <c r="G26" t="s">
        <v>39</v>
      </c>
      <c r="H26" t="s">
        <v>0</v>
      </c>
      <c r="I26" t="s">
        <v>40</v>
      </c>
      <c r="J26" t="s">
        <v>9</v>
      </c>
    </row>
    <row r="27" spans="2:10" x14ac:dyDescent="0.3">
      <c r="B27" s="13">
        <v>1</v>
      </c>
      <c r="C27" t="s">
        <v>59</v>
      </c>
      <c r="D27">
        <v>0.52044000000000001</v>
      </c>
      <c r="E27" t="s">
        <v>42</v>
      </c>
      <c r="G27" s="13">
        <v>1</v>
      </c>
      <c r="H27" t="s">
        <v>69</v>
      </c>
      <c r="I27">
        <v>0.61829999999999996</v>
      </c>
      <c r="J27" t="s">
        <v>42</v>
      </c>
    </row>
    <row r="28" spans="2:10" x14ac:dyDescent="0.3">
      <c r="B28" s="13">
        <v>0.72160000000000002</v>
      </c>
      <c r="C28" t="s">
        <v>60</v>
      </c>
      <c r="D28">
        <v>0.37553999999999998</v>
      </c>
      <c r="E28" t="s">
        <v>42</v>
      </c>
      <c r="G28" s="13">
        <v>0.67859999999999998</v>
      </c>
      <c r="H28" t="s">
        <v>70</v>
      </c>
      <c r="I28">
        <v>0.41959000000000002</v>
      </c>
      <c r="J28" t="s">
        <v>42</v>
      </c>
    </row>
    <row r="29" spans="2:10" x14ac:dyDescent="0.3">
      <c r="B29" s="13">
        <v>9.1300000000000006E-2</v>
      </c>
      <c r="C29" t="s">
        <v>61</v>
      </c>
      <c r="D29">
        <v>4.7489999999999997E-2</v>
      </c>
      <c r="E29" t="s">
        <v>42</v>
      </c>
      <c r="G29" s="13">
        <v>1.3299999999999999E-2</v>
      </c>
      <c r="H29" t="s">
        <v>71</v>
      </c>
      <c r="I29">
        <v>8.2400000000000008E-3</v>
      </c>
      <c r="J29" t="s">
        <v>42</v>
      </c>
    </row>
    <row r="30" spans="2:10" x14ac:dyDescent="0.3">
      <c r="B30" s="13">
        <v>8.7400000000000005E-2</v>
      </c>
      <c r="C30" t="s">
        <v>62</v>
      </c>
      <c r="D30">
        <v>4.5499999999999999E-2</v>
      </c>
      <c r="E30" t="s">
        <v>42</v>
      </c>
      <c r="G30" s="13">
        <v>1E-3</v>
      </c>
      <c r="H30" t="s">
        <v>72</v>
      </c>
      <c r="I30">
        <v>6.2E-4</v>
      </c>
      <c r="J30" t="s">
        <v>42</v>
      </c>
    </row>
    <row r="31" spans="2:10" x14ac:dyDescent="0.3">
      <c r="B31" s="13">
        <v>2.7199999999999998E-2</v>
      </c>
      <c r="C31" t="s">
        <v>63</v>
      </c>
      <c r="D31">
        <v>1.414E-2</v>
      </c>
      <c r="E31" t="s">
        <v>42</v>
      </c>
      <c r="G31" s="13">
        <v>0</v>
      </c>
      <c r="H31" t="s">
        <v>73</v>
      </c>
      <c r="I31" s="14">
        <v>9.6683799999999997E-8</v>
      </c>
      <c r="J31" t="s">
        <v>42</v>
      </c>
    </row>
    <row r="32" spans="2:10" x14ac:dyDescent="0.3">
      <c r="B32" s="13">
        <v>2.12E-2</v>
      </c>
      <c r="C32" t="s">
        <v>64</v>
      </c>
      <c r="D32">
        <v>1.1039999999999999E-2</v>
      </c>
      <c r="E32" t="s">
        <v>42</v>
      </c>
    </row>
    <row r="33" spans="2:11" x14ac:dyDescent="0.3">
      <c r="B33" s="13">
        <v>8.8000000000000005E-3</v>
      </c>
      <c r="C33" t="s">
        <v>65</v>
      </c>
      <c r="D33">
        <v>4.5799999999999999E-3</v>
      </c>
      <c r="E33" t="s">
        <v>42</v>
      </c>
    </row>
    <row r="34" spans="2:11" x14ac:dyDescent="0.3">
      <c r="B34" s="13">
        <v>7.0000000000000001E-3</v>
      </c>
      <c r="C34" t="s">
        <v>66</v>
      </c>
      <c r="D34">
        <v>3.65E-3</v>
      </c>
      <c r="E34" t="s">
        <v>42</v>
      </c>
    </row>
    <row r="35" spans="2:11" x14ac:dyDescent="0.3">
      <c r="B35" s="13">
        <v>3.8E-3</v>
      </c>
      <c r="C35" t="s">
        <v>67</v>
      </c>
      <c r="D35">
        <v>1.97E-3</v>
      </c>
      <c r="E35" t="s">
        <v>42</v>
      </c>
    </row>
    <row r="37" spans="2:11" x14ac:dyDescent="0.3">
      <c r="B37" t="s">
        <v>86</v>
      </c>
      <c r="C37" t="s">
        <v>50</v>
      </c>
      <c r="G37" t="s">
        <v>86</v>
      </c>
      <c r="H37" t="s">
        <v>52</v>
      </c>
      <c r="K37" t="s">
        <v>89</v>
      </c>
    </row>
    <row r="38" spans="2:11" x14ac:dyDescent="0.3">
      <c r="B38" t="s">
        <v>39</v>
      </c>
      <c r="C38" t="s">
        <v>0</v>
      </c>
      <c r="D38" t="s">
        <v>40</v>
      </c>
      <c r="E38" t="s">
        <v>9</v>
      </c>
      <c r="G38" t="s">
        <v>39</v>
      </c>
      <c r="H38" t="s">
        <v>0</v>
      </c>
      <c r="I38" t="s">
        <v>40</v>
      </c>
      <c r="J38" t="s">
        <v>9</v>
      </c>
    </row>
    <row r="39" spans="2:11" x14ac:dyDescent="0.3">
      <c r="B39" s="13">
        <v>1</v>
      </c>
      <c r="C39" t="s">
        <v>80</v>
      </c>
      <c r="D39" s="14">
        <v>9345900</v>
      </c>
      <c r="E39" t="s">
        <v>42</v>
      </c>
      <c r="G39" s="13">
        <v>1</v>
      </c>
      <c r="H39" t="s">
        <v>80</v>
      </c>
      <c r="I39" s="14">
        <v>40367000</v>
      </c>
      <c r="J39" t="s">
        <v>51</v>
      </c>
    </row>
    <row r="40" spans="2:11" x14ac:dyDescent="0.3">
      <c r="B40" s="13">
        <v>0.69510000000000005</v>
      </c>
      <c r="C40" t="s">
        <v>81</v>
      </c>
      <c r="D40" s="14">
        <v>6496640</v>
      </c>
      <c r="E40" t="s">
        <v>42</v>
      </c>
      <c r="G40" s="13">
        <v>0.63200000000000001</v>
      </c>
      <c r="H40" t="s">
        <v>81</v>
      </c>
      <c r="I40" s="14">
        <v>25512200</v>
      </c>
      <c r="J40" t="s">
        <v>51</v>
      </c>
    </row>
    <row r="41" spans="2:11" x14ac:dyDescent="0.3">
      <c r="B41" s="13">
        <v>0.18529999999999999</v>
      </c>
      <c r="C41" t="s">
        <v>45</v>
      </c>
      <c r="D41" s="14">
        <v>1731650</v>
      </c>
      <c r="E41" t="s">
        <v>42</v>
      </c>
      <c r="G41" s="13">
        <v>0.2009</v>
      </c>
      <c r="H41" t="s">
        <v>45</v>
      </c>
      <c r="I41" s="14">
        <v>8110510</v>
      </c>
      <c r="J41" t="s">
        <v>51</v>
      </c>
    </row>
    <row r="42" spans="2:11" x14ac:dyDescent="0.3">
      <c r="B42" s="13">
        <v>0.1043</v>
      </c>
      <c r="C42" t="s">
        <v>82</v>
      </c>
      <c r="D42" s="14">
        <v>974501</v>
      </c>
      <c r="E42" t="s">
        <v>42</v>
      </c>
      <c r="G42" s="13">
        <v>0.1072</v>
      </c>
      <c r="H42" t="s">
        <v>82</v>
      </c>
      <c r="I42" s="14">
        <v>4329050</v>
      </c>
      <c r="J42" t="s">
        <v>51</v>
      </c>
    </row>
    <row r="43" spans="2:11" x14ac:dyDescent="0.3">
      <c r="B43" s="13">
        <v>1.47E-2</v>
      </c>
      <c r="C43" t="s">
        <v>44</v>
      </c>
      <c r="D43" s="14">
        <v>137420</v>
      </c>
      <c r="E43" t="s">
        <v>42</v>
      </c>
      <c r="G43" s="13">
        <v>5.91E-2</v>
      </c>
      <c r="H43" t="s">
        <v>44</v>
      </c>
      <c r="I43" s="14">
        <v>2384860</v>
      </c>
      <c r="J43" t="s">
        <v>51</v>
      </c>
    </row>
    <row r="44" spans="2:11" x14ac:dyDescent="0.3">
      <c r="B44" s="13">
        <v>2.9999999999999997E-4</v>
      </c>
      <c r="C44" t="s">
        <v>83</v>
      </c>
      <c r="D44">
        <v>2506.10806</v>
      </c>
      <c r="E44" t="s">
        <v>42</v>
      </c>
      <c r="G44" s="13">
        <v>4.0000000000000002E-4</v>
      </c>
      <c r="H44" t="s">
        <v>83</v>
      </c>
      <c r="I44" s="14">
        <v>17552.400000000001</v>
      </c>
      <c r="J44" t="s">
        <v>51</v>
      </c>
    </row>
    <row r="45" spans="2:11" x14ac:dyDescent="0.3">
      <c r="B45" s="13">
        <v>2.0000000000000001E-4</v>
      </c>
      <c r="C45" t="s">
        <v>84</v>
      </c>
      <c r="D45">
        <v>2062.72514</v>
      </c>
      <c r="E45" t="s">
        <v>42</v>
      </c>
      <c r="G45" s="13">
        <v>2.0000000000000001E-4</v>
      </c>
      <c r="H45" t="s">
        <v>84</v>
      </c>
      <c r="I45">
        <v>8036.9602199999999</v>
      </c>
      <c r="J45" t="s">
        <v>51</v>
      </c>
    </row>
    <row r="46" spans="2:11" x14ac:dyDescent="0.3">
      <c r="B46" s="13">
        <v>1E-4</v>
      </c>
      <c r="C46" t="s">
        <v>47</v>
      </c>
      <c r="D46">
        <v>981.18611999999996</v>
      </c>
      <c r="E46" t="s">
        <v>42</v>
      </c>
      <c r="G46" s="13">
        <v>1E-4</v>
      </c>
      <c r="H46" t="s">
        <v>47</v>
      </c>
      <c r="I46">
        <v>4196.6968200000001</v>
      </c>
      <c r="J46" t="s">
        <v>51</v>
      </c>
    </row>
    <row r="47" spans="2:11" x14ac:dyDescent="0.3">
      <c r="B47" s="13">
        <v>0</v>
      </c>
      <c r="C47" t="s">
        <v>85</v>
      </c>
      <c r="D47">
        <v>130.69899000000001</v>
      </c>
      <c r="E47" t="s">
        <v>42</v>
      </c>
      <c r="G47" s="13">
        <v>0</v>
      </c>
      <c r="H47" t="s">
        <v>85</v>
      </c>
      <c r="I47">
        <v>609.67714999999998</v>
      </c>
      <c r="J47" t="s">
        <v>51</v>
      </c>
    </row>
    <row r="49" spans="2:10" x14ac:dyDescent="0.3">
      <c r="B49" t="s">
        <v>96</v>
      </c>
      <c r="C49" t="s">
        <v>50</v>
      </c>
      <c r="G49" t="s">
        <v>97</v>
      </c>
    </row>
    <row r="50" spans="2:10" x14ac:dyDescent="0.3">
      <c r="B50" t="s">
        <v>39</v>
      </c>
      <c r="C50" t="s">
        <v>0</v>
      </c>
      <c r="D50" t="s">
        <v>40</v>
      </c>
      <c r="E50" t="s">
        <v>9</v>
      </c>
      <c r="G50" t="s">
        <v>39</v>
      </c>
      <c r="H50" t="s">
        <v>0</v>
      </c>
      <c r="I50" t="s">
        <v>40</v>
      </c>
      <c r="J50" t="s">
        <v>9</v>
      </c>
    </row>
    <row r="51" spans="2:10" x14ac:dyDescent="0.3">
      <c r="B51" s="13">
        <v>1</v>
      </c>
      <c r="C51" s="14" t="s">
        <v>90</v>
      </c>
      <c r="D51" s="14">
        <v>13433300</v>
      </c>
      <c r="E51" t="s">
        <v>42</v>
      </c>
      <c r="G51" s="13">
        <v>1</v>
      </c>
      <c r="H51" s="14" t="s">
        <v>90</v>
      </c>
      <c r="I51" s="14">
        <v>56154000</v>
      </c>
      <c r="J51" t="s">
        <v>51</v>
      </c>
    </row>
    <row r="52" spans="2:10" x14ac:dyDescent="0.3">
      <c r="B52" s="13">
        <v>0.77149999999999996</v>
      </c>
      <c r="C52" s="14" t="s">
        <v>81</v>
      </c>
      <c r="D52" s="14">
        <v>10364100</v>
      </c>
      <c r="E52" t="s">
        <v>42</v>
      </c>
      <c r="G52" s="13">
        <v>0.7248</v>
      </c>
      <c r="H52" s="14" t="s">
        <v>81</v>
      </c>
      <c r="I52" s="14">
        <v>40699400</v>
      </c>
      <c r="J52" t="s">
        <v>51</v>
      </c>
    </row>
    <row r="53" spans="2:10" x14ac:dyDescent="0.3">
      <c r="B53" s="13">
        <v>0.22059999999999999</v>
      </c>
      <c r="C53" s="14" t="s">
        <v>91</v>
      </c>
      <c r="D53" s="14">
        <v>2963690</v>
      </c>
      <c r="E53" t="s">
        <v>42</v>
      </c>
      <c r="G53" s="13">
        <v>0.26119999999999999</v>
      </c>
      <c r="H53" s="14" t="s">
        <v>91</v>
      </c>
      <c r="I53" s="14">
        <v>14664900</v>
      </c>
      <c r="J53" t="s">
        <v>51</v>
      </c>
    </row>
    <row r="54" spans="2:10" x14ac:dyDescent="0.3">
      <c r="B54" s="13">
        <v>7.1000000000000004E-3</v>
      </c>
      <c r="C54" s="14" t="s">
        <v>92</v>
      </c>
      <c r="D54" s="14">
        <v>96006.2</v>
      </c>
      <c r="E54" t="s">
        <v>42</v>
      </c>
      <c r="G54" s="13">
        <v>1.26E-2</v>
      </c>
      <c r="H54" s="14" t="s">
        <v>92</v>
      </c>
      <c r="I54" s="14">
        <v>709953</v>
      </c>
      <c r="J54" t="s">
        <v>51</v>
      </c>
    </row>
    <row r="55" spans="2:10" x14ac:dyDescent="0.3">
      <c r="B55" s="13">
        <v>2.9999999999999997E-4</v>
      </c>
      <c r="C55" t="s">
        <v>93</v>
      </c>
      <c r="D55">
        <v>4029.6218399999998</v>
      </c>
      <c r="E55" t="s">
        <v>42</v>
      </c>
      <c r="G55" s="13">
        <v>1.2999999999999999E-3</v>
      </c>
      <c r="H55" s="14" t="s">
        <v>93</v>
      </c>
      <c r="I55" s="14">
        <v>72017</v>
      </c>
      <c r="J55" t="s">
        <v>51</v>
      </c>
    </row>
    <row r="56" spans="2:10" x14ac:dyDescent="0.3">
      <c r="B56" s="13">
        <v>2.0000000000000001E-4</v>
      </c>
      <c r="C56" t="s">
        <v>94</v>
      </c>
      <c r="D56">
        <v>3327.6119100000001</v>
      </c>
      <c r="E56" t="s">
        <v>42</v>
      </c>
      <c r="G56" s="13">
        <v>1E-4</v>
      </c>
      <c r="H56" t="s">
        <v>47</v>
      </c>
      <c r="I56">
        <v>6587.8380399999996</v>
      </c>
      <c r="J56" t="s">
        <v>51</v>
      </c>
    </row>
    <row r="57" spans="2:10" x14ac:dyDescent="0.3">
      <c r="B57" s="13">
        <v>1E-4</v>
      </c>
      <c r="C57" t="s">
        <v>47</v>
      </c>
      <c r="D57">
        <v>1540.2340200000001</v>
      </c>
      <c r="E57" t="s">
        <v>42</v>
      </c>
      <c r="G57" s="13">
        <v>0</v>
      </c>
      <c r="H57" t="s">
        <v>94</v>
      </c>
      <c r="I57">
        <v>922.87207999999998</v>
      </c>
      <c r="J57" t="s">
        <v>51</v>
      </c>
    </row>
    <row r="58" spans="2:10" x14ac:dyDescent="0.3">
      <c r="B58" s="13">
        <v>1E-4</v>
      </c>
      <c r="C58" t="s">
        <v>95</v>
      </c>
      <c r="D58">
        <v>682.17452000000003</v>
      </c>
      <c r="E58" t="s">
        <v>42</v>
      </c>
      <c r="G58" s="13">
        <v>0</v>
      </c>
      <c r="H58" t="s">
        <v>95</v>
      </c>
      <c r="I58">
        <v>107.86816</v>
      </c>
      <c r="J58" t="s">
        <v>51</v>
      </c>
    </row>
    <row r="60" spans="2:10" x14ac:dyDescent="0.3">
      <c r="B60" t="s">
        <v>105</v>
      </c>
      <c r="C60" t="s">
        <v>50</v>
      </c>
      <c r="G60" t="s">
        <v>105</v>
      </c>
      <c r="H60" t="s">
        <v>52</v>
      </c>
    </row>
    <row r="61" spans="2:10" x14ac:dyDescent="0.3">
      <c r="B61" t="s">
        <v>39</v>
      </c>
      <c r="C61" t="s">
        <v>0</v>
      </c>
      <c r="D61" t="s">
        <v>40</v>
      </c>
      <c r="E61" t="s">
        <v>9</v>
      </c>
      <c r="G61" t="s">
        <v>39</v>
      </c>
      <c r="H61" t="s">
        <v>0</v>
      </c>
      <c r="I61" t="s">
        <v>40</v>
      </c>
      <c r="J61" t="s">
        <v>9</v>
      </c>
    </row>
    <row r="62" spans="2:10" x14ac:dyDescent="0.3">
      <c r="B62" s="13">
        <v>1</v>
      </c>
      <c r="C62" t="s">
        <v>98</v>
      </c>
      <c r="D62">
        <v>2.4401099999999998</v>
      </c>
      <c r="E62" t="s">
        <v>42</v>
      </c>
      <c r="G62" s="13">
        <v>1</v>
      </c>
      <c r="H62" t="s">
        <v>98</v>
      </c>
      <c r="I62">
        <v>11.97179</v>
      </c>
      <c r="J62" t="s">
        <v>51</v>
      </c>
    </row>
    <row r="63" spans="2:10" x14ac:dyDescent="0.3">
      <c r="B63" s="13">
        <v>0.69540000000000002</v>
      </c>
      <c r="C63" t="s">
        <v>99</v>
      </c>
      <c r="D63">
        <v>1.6969099999999999</v>
      </c>
      <c r="E63" t="s">
        <v>42</v>
      </c>
      <c r="G63" s="13">
        <v>0.82279999999999998</v>
      </c>
      <c r="H63" t="s">
        <v>99</v>
      </c>
      <c r="I63">
        <v>9.8508399999999998</v>
      </c>
      <c r="J63" t="s">
        <v>51</v>
      </c>
    </row>
    <row r="64" spans="2:10" x14ac:dyDescent="0.3">
      <c r="B64" s="13">
        <v>0.28420000000000001</v>
      </c>
      <c r="C64" t="s">
        <v>100</v>
      </c>
      <c r="D64">
        <v>0.69347000000000003</v>
      </c>
      <c r="E64" t="s">
        <v>42</v>
      </c>
      <c r="G64" s="13">
        <v>0.16520000000000001</v>
      </c>
      <c r="H64" t="s">
        <v>100</v>
      </c>
      <c r="I64">
        <v>1.97828</v>
      </c>
      <c r="J64" t="s">
        <v>51</v>
      </c>
    </row>
    <row r="65" spans="2:10" x14ac:dyDescent="0.3">
      <c r="B65" s="13">
        <v>1.15E-2</v>
      </c>
      <c r="C65" t="s">
        <v>101</v>
      </c>
      <c r="D65">
        <v>2.801E-2</v>
      </c>
      <c r="E65" t="s">
        <v>42</v>
      </c>
      <c r="G65" s="13">
        <v>6.4999999999999997E-3</v>
      </c>
      <c r="H65" t="s">
        <v>101</v>
      </c>
      <c r="I65">
        <v>7.739E-2</v>
      </c>
      <c r="J65" t="s">
        <v>51</v>
      </c>
    </row>
    <row r="66" spans="2:10" x14ac:dyDescent="0.3">
      <c r="B66" s="13">
        <v>6.1000000000000004E-3</v>
      </c>
      <c r="C66" t="s">
        <v>102</v>
      </c>
      <c r="D66">
        <v>1.494E-2</v>
      </c>
      <c r="E66" t="s">
        <v>42</v>
      </c>
      <c r="G66" s="13">
        <v>5.0000000000000001E-3</v>
      </c>
      <c r="H66" t="s">
        <v>102</v>
      </c>
      <c r="I66">
        <v>5.926E-2</v>
      </c>
      <c r="J66" t="s">
        <v>51</v>
      </c>
    </row>
    <row r="67" spans="2:10" x14ac:dyDescent="0.3">
      <c r="B67" s="13">
        <v>2.3E-3</v>
      </c>
      <c r="C67" t="s">
        <v>103</v>
      </c>
      <c r="D67">
        <v>5.5999999999999999E-3</v>
      </c>
      <c r="E67" t="s">
        <v>42</v>
      </c>
      <c r="G67" s="13">
        <v>2.9999999999999997E-4</v>
      </c>
      <c r="H67" t="s">
        <v>103</v>
      </c>
      <c r="I67">
        <v>3.7799999999999999E-3</v>
      </c>
      <c r="J67" t="s">
        <v>51</v>
      </c>
    </row>
    <row r="68" spans="2:10" x14ac:dyDescent="0.3">
      <c r="B68" s="13">
        <v>5.0000000000000001E-4</v>
      </c>
      <c r="C68" t="s">
        <v>104</v>
      </c>
      <c r="D68">
        <v>1.17E-3</v>
      </c>
      <c r="E68" t="s">
        <v>42</v>
      </c>
      <c r="G68" s="13">
        <v>2.0000000000000001E-4</v>
      </c>
      <c r="H68" t="s">
        <v>104</v>
      </c>
      <c r="I68">
        <v>2.2499999999999998E-3</v>
      </c>
      <c r="J68" t="s">
        <v>51</v>
      </c>
    </row>
    <row r="70" spans="2:10" x14ac:dyDescent="0.3">
      <c r="B70" t="s">
        <v>111</v>
      </c>
      <c r="C70" t="s">
        <v>50</v>
      </c>
      <c r="G70" t="s">
        <v>110</v>
      </c>
      <c r="H70" t="s">
        <v>52</v>
      </c>
    </row>
    <row r="71" spans="2:10" x14ac:dyDescent="0.3">
      <c r="B71" t="s">
        <v>39</v>
      </c>
      <c r="C71" t="s">
        <v>0</v>
      </c>
      <c r="D71" t="s">
        <v>40</v>
      </c>
      <c r="E71" t="s">
        <v>9</v>
      </c>
      <c r="G71" t="s">
        <v>39</v>
      </c>
      <c r="H71" t="s">
        <v>0</v>
      </c>
      <c r="I71" t="s">
        <v>40</v>
      </c>
      <c r="J71" t="s">
        <v>9</v>
      </c>
    </row>
    <row r="72" spans="2:10" x14ac:dyDescent="0.3">
      <c r="B72" s="13">
        <v>1</v>
      </c>
      <c r="C72" t="s">
        <v>106</v>
      </c>
      <c r="D72">
        <v>4.6385300000000003</v>
      </c>
      <c r="E72" t="s">
        <v>42</v>
      </c>
      <c r="G72" s="13">
        <v>1</v>
      </c>
      <c r="H72" t="s">
        <v>106</v>
      </c>
      <c r="I72">
        <v>27.355740000000001</v>
      </c>
      <c r="J72" t="s">
        <v>51</v>
      </c>
    </row>
    <row r="73" spans="2:10" x14ac:dyDescent="0.3">
      <c r="B73" s="13">
        <v>0.88090000000000002</v>
      </c>
      <c r="C73" t="s">
        <v>107</v>
      </c>
      <c r="D73">
        <v>4.0860700000000003</v>
      </c>
      <c r="E73" t="s">
        <v>42</v>
      </c>
      <c r="G73" s="13">
        <v>0.89429999999999998</v>
      </c>
      <c r="H73" t="s">
        <v>107</v>
      </c>
      <c r="I73">
        <v>24.462990000000001</v>
      </c>
      <c r="J73" t="s">
        <v>51</v>
      </c>
    </row>
    <row r="74" spans="2:10" x14ac:dyDescent="0.3">
      <c r="B74" s="13">
        <v>9.9500000000000005E-2</v>
      </c>
      <c r="C74" t="s">
        <v>108</v>
      </c>
      <c r="D74">
        <v>0.46133000000000002</v>
      </c>
      <c r="E74" t="s">
        <v>42</v>
      </c>
      <c r="G74" s="13">
        <v>9.6299999999999997E-2</v>
      </c>
      <c r="H74" t="s">
        <v>108</v>
      </c>
      <c r="I74">
        <v>2.6340599999999998</v>
      </c>
      <c r="J74" t="s">
        <v>51</v>
      </c>
    </row>
    <row r="75" spans="2:10" x14ac:dyDescent="0.3">
      <c r="B75" s="13">
        <v>1.26E-2</v>
      </c>
      <c r="C75" t="s">
        <v>101</v>
      </c>
      <c r="D75">
        <v>5.8279999999999998E-2</v>
      </c>
      <c r="E75" t="s">
        <v>42</v>
      </c>
      <c r="G75" s="13">
        <v>5.8999999999999999E-3</v>
      </c>
      <c r="H75" t="s">
        <v>101</v>
      </c>
      <c r="I75">
        <v>0.161</v>
      </c>
      <c r="J75" t="s">
        <v>51</v>
      </c>
    </row>
    <row r="76" spans="2:10" x14ac:dyDescent="0.3">
      <c r="B76" s="13">
        <v>5.3E-3</v>
      </c>
      <c r="C76" t="s">
        <v>109</v>
      </c>
      <c r="D76">
        <v>2.4740000000000002E-2</v>
      </c>
      <c r="E76" t="s">
        <v>42</v>
      </c>
      <c r="G76" s="13">
        <v>2.7000000000000001E-3</v>
      </c>
      <c r="H76" t="s">
        <v>109</v>
      </c>
      <c r="I76">
        <v>7.51E-2</v>
      </c>
      <c r="J76" t="s">
        <v>51</v>
      </c>
    </row>
    <row r="77" spans="2:10" x14ac:dyDescent="0.3">
      <c r="B77" s="13">
        <v>1.1000000000000001E-3</v>
      </c>
      <c r="C77" t="s">
        <v>102</v>
      </c>
      <c r="D77">
        <v>5.1999999999999998E-3</v>
      </c>
      <c r="E77" t="s">
        <v>42</v>
      </c>
      <c r="G77" s="13">
        <v>8.0000000000000004E-4</v>
      </c>
      <c r="H77" t="s">
        <v>102</v>
      </c>
      <c r="I77">
        <v>2.0629999999999999E-2</v>
      </c>
      <c r="J77" t="s">
        <v>51</v>
      </c>
    </row>
    <row r="78" spans="2:10" x14ac:dyDescent="0.3">
      <c r="B78" s="13">
        <v>5.9999999999999995E-4</v>
      </c>
      <c r="C78" t="s">
        <v>103</v>
      </c>
      <c r="D78">
        <v>2.9099999999999998E-3</v>
      </c>
      <c r="E78" t="s">
        <v>42</v>
      </c>
      <c r="G78" s="13">
        <v>1E-4</v>
      </c>
      <c r="H78" t="s">
        <v>103</v>
      </c>
      <c r="I78">
        <v>1.9599999999999999E-3</v>
      </c>
      <c r="J78" t="s">
        <v>51</v>
      </c>
    </row>
    <row r="80" spans="2:10" x14ac:dyDescent="0.3">
      <c r="B80" t="s">
        <v>121</v>
      </c>
      <c r="C80" t="s">
        <v>50</v>
      </c>
      <c r="G80" t="s">
        <v>121</v>
      </c>
      <c r="H80" t="s">
        <v>52</v>
      </c>
    </row>
    <row r="81" spans="2:10" x14ac:dyDescent="0.3">
      <c r="B81" t="s">
        <v>39</v>
      </c>
      <c r="C81" t="s">
        <v>0</v>
      </c>
      <c r="D81" t="s">
        <v>40</v>
      </c>
      <c r="E81" t="s">
        <v>9</v>
      </c>
      <c r="G81" t="s">
        <v>39</v>
      </c>
      <c r="H81" t="s">
        <v>0</v>
      </c>
      <c r="I81" t="s">
        <v>40</v>
      </c>
      <c r="J81" t="s">
        <v>9</v>
      </c>
    </row>
    <row r="82" spans="2:10" x14ac:dyDescent="0.3">
      <c r="B82" s="13">
        <v>1</v>
      </c>
      <c r="C82" t="s">
        <v>118</v>
      </c>
      <c r="D82">
        <v>3.2580900000000002</v>
      </c>
      <c r="E82" t="s">
        <v>42</v>
      </c>
      <c r="G82" s="13">
        <v>1</v>
      </c>
      <c r="H82" t="s">
        <v>118</v>
      </c>
      <c r="I82">
        <v>14.35205</v>
      </c>
      <c r="J82" t="s">
        <v>51</v>
      </c>
    </row>
    <row r="83" spans="2:10" x14ac:dyDescent="0.3">
      <c r="B83" s="13">
        <v>0.69520000000000004</v>
      </c>
      <c r="C83" t="s">
        <v>119</v>
      </c>
      <c r="D83">
        <v>2.2651699999999999</v>
      </c>
      <c r="E83" t="s">
        <v>42</v>
      </c>
      <c r="G83" s="13">
        <v>0.85780000000000001</v>
      </c>
      <c r="H83" t="s">
        <v>119</v>
      </c>
      <c r="I83">
        <v>12.31071</v>
      </c>
      <c r="J83" t="s">
        <v>51</v>
      </c>
    </row>
    <row r="84" spans="2:10" x14ac:dyDescent="0.3">
      <c r="B84" s="13">
        <v>0.28949999999999998</v>
      </c>
      <c r="C84" t="s">
        <v>120</v>
      </c>
      <c r="D84">
        <v>0.94320000000000004</v>
      </c>
      <c r="E84" t="s">
        <v>42</v>
      </c>
      <c r="G84" s="13">
        <v>0.1323</v>
      </c>
      <c r="H84" t="s">
        <v>120</v>
      </c>
      <c r="I84">
        <v>1.8987099999999999</v>
      </c>
      <c r="J84" t="s">
        <v>51</v>
      </c>
    </row>
    <row r="85" spans="2:10" x14ac:dyDescent="0.3">
      <c r="B85" s="13">
        <v>8.6E-3</v>
      </c>
      <c r="C85" t="s">
        <v>101</v>
      </c>
      <c r="D85">
        <v>2.801E-2</v>
      </c>
      <c r="E85" t="s">
        <v>42</v>
      </c>
      <c r="G85" s="13">
        <v>5.4000000000000003E-3</v>
      </c>
      <c r="H85" t="s">
        <v>101</v>
      </c>
      <c r="I85">
        <v>7.739E-2</v>
      </c>
      <c r="J85" t="s">
        <v>51</v>
      </c>
    </row>
    <row r="86" spans="2:10" x14ac:dyDescent="0.3">
      <c r="B86" s="13">
        <v>4.5999999999999999E-3</v>
      </c>
      <c r="C86" t="s">
        <v>102</v>
      </c>
      <c r="D86">
        <v>1.494E-2</v>
      </c>
      <c r="E86" t="s">
        <v>42</v>
      </c>
      <c r="G86" s="13">
        <v>4.1000000000000003E-3</v>
      </c>
      <c r="H86" t="s">
        <v>102</v>
      </c>
      <c r="I86">
        <v>5.926E-2</v>
      </c>
      <c r="J86" t="s">
        <v>51</v>
      </c>
    </row>
    <row r="87" spans="2:10" x14ac:dyDescent="0.3">
      <c r="B87" s="13">
        <v>1.6999999999999999E-3</v>
      </c>
      <c r="C87" t="s">
        <v>103</v>
      </c>
      <c r="D87">
        <v>5.5999999999999999E-3</v>
      </c>
      <c r="E87" t="s">
        <v>42</v>
      </c>
      <c r="G87" s="13">
        <v>2.9999999999999997E-4</v>
      </c>
      <c r="H87" t="s">
        <v>103</v>
      </c>
      <c r="I87">
        <v>3.7799999999999999E-3</v>
      </c>
      <c r="J87" t="s">
        <v>51</v>
      </c>
    </row>
    <row r="88" spans="2:10" x14ac:dyDescent="0.3">
      <c r="B88" s="13">
        <v>4.0000000000000002E-4</v>
      </c>
      <c r="C88" t="s">
        <v>104</v>
      </c>
      <c r="D88">
        <v>1.17E-3</v>
      </c>
      <c r="E88" t="s">
        <v>42</v>
      </c>
      <c r="G88" s="13">
        <v>2.0000000000000001E-4</v>
      </c>
      <c r="H88" t="s">
        <v>104</v>
      </c>
      <c r="I88">
        <v>2.2499999999999998E-3</v>
      </c>
      <c r="J88" t="s">
        <v>51</v>
      </c>
    </row>
    <row r="90" spans="2:10" x14ac:dyDescent="0.3">
      <c r="B90" t="s">
        <v>291</v>
      </c>
      <c r="C90" t="s">
        <v>50</v>
      </c>
      <c r="G90" t="s">
        <v>292</v>
      </c>
      <c r="H90" t="s">
        <v>50</v>
      </c>
    </row>
    <row r="91" spans="2:10" x14ac:dyDescent="0.3">
      <c r="B91" t="s">
        <v>39</v>
      </c>
      <c r="C91" t="s">
        <v>0</v>
      </c>
      <c r="D91" t="s">
        <v>40</v>
      </c>
      <c r="E91" t="s">
        <v>9</v>
      </c>
      <c r="G91" t="s">
        <v>39</v>
      </c>
      <c r="H91" t="s">
        <v>0</v>
      </c>
      <c r="I91" t="s">
        <v>40</v>
      </c>
      <c r="J91" t="s">
        <v>9</v>
      </c>
    </row>
    <row r="92" spans="2:10" x14ac:dyDescent="0.3">
      <c r="B92" s="13">
        <v>1</v>
      </c>
      <c r="C92" t="s">
        <v>127</v>
      </c>
      <c r="D92">
        <v>0.38552999999999998</v>
      </c>
      <c r="E92" t="s">
        <v>42</v>
      </c>
      <c r="G92" s="13">
        <v>1</v>
      </c>
      <c r="H92" t="s">
        <v>122</v>
      </c>
      <c r="I92">
        <v>0.45685999999999999</v>
      </c>
      <c r="J92" t="s">
        <v>42</v>
      </c>
    </row>
    <row r="93" spans="2:10" x14ac:dyDescent="0.3">
      <c r="B93" s="13">
        <v>0.33939999999999998</v>
      </c>
      <c r="C93" t="s">
        <v>128</v>
      </c>
      <c r="D93">
        <v>0.13086</v>
      </c>
      <c r="E93" t="s">
        <v>42</v>
      </c>
      <c r="G93" s="13">
        <v>0.749</v>
      </c>
      <c r="H93" t="s">
        <v>123</v>
      </c>
      <c r="I93">
        <v>0.34216999999999997</v>
      </c>
      <c r="J93" t="s">
        <v>42</v>
      </c>
    </row>
    <row r="94" spans="2:10" x14ac:dyDescent="0.3">
      <c r="B94" s="13">
        <v>0.2828</v>
      </c>
      <c r="C94" t="s">
        <v>129</v>
      </c>
      <c r="D94">
        <v>0.10902000000000001</v>
      </c>
      <c r="E94" t="s">
        <v>42</v>
      </c>
      <c r="G94" s="13">
        <v>0.17349999999999999</v>
      </c>
      <c r="H94" t="s">
        <v>124</v>
      </c>
      <c r="I94">
        <v>7.9289999999999999E-2</v>
      </c>
      <c r="J94" t="s">
        <v>42</v>
      </c>
    </row>
    <row r="95" spans="2:10" x14ac:dyDescent="0.3">
      <c r="B95" s="13">
        <v>0.1022</v>
      </c>
      <c r="C95" t="s">
        <v>130</v>
      </c>
      <c r="D95">
        <v>3.9410000000000001E-2</v>
      </c>
      <c r="E95" t="s">
        <v>42</v>
      </c>
      <c r="G95" s="13">
        <v>6.0900000000000003E-2</v>
      </c>
      <c r="H95" t="s">
        <v>125</v>
      </c>
      <c r="I95">
        <v>2.7799999999999998E-2</v>
      </c>
      <c r="J95" t="s">
        <v>42</v>
      </c>
    </row>
    <row r="96" spans="2:10" x14ac:dyDescent="0.3">
      <c r="B96" s="13">
        <v>7.9600000000000004E-2</v>
      </c>
      <c r="C96" t="s">
        <v>131</v>
      </c>
      <c r="D96">
        <v>3.0689999999999999E-2</v>
      </c>
      <c r="E96" t="s">
        <v>42</v>
      </c>
      <c r="G96" s="13">
        <v>4.5999999999999999E-3</v>
      </c>
      <c r="H96" t="s">
        <v>126</v>
      </c>
      <c r="I96">
        <v>2.0899999999999998E-3</v>
      </c>
      <c r="J96" t="s">
        <v>42</v>
      </c>
    </row>
    <row r="98" spans="2:10" x14ac:dyDescent="0.3">
      <c r="B98" t="s">
        <v>143</v>
      </c>
      <c r="C98" t="s">
        <v>50</v>
      </c>
      <c r="G98" t="s">
        <v>143</v>
      </c>
      <c r="H98" t="s">
        <v>52</v>
      </c>
    </row>
    <row r="99" spans="2:10" x14ac:dyDescent="0.3">
      <c r="B99" t="s">
        <v>39</v>
      </c>
      <c r="C99" t="s">
        <v>0</v>
      </c>
      <c r="D99" t="s">
        <v>40</v>
      </c>
      <c r="E99" t="s">
        <v>9</v>
      </c>
      <c r="G99" t="s">
        <v>39</v>
      </c>
      <c r="H99" t="s">
        <v>0</v>
      </c>
      <c r="I99" t="s">
        <v>40</v>
      </c>
      <c r="J99" t="s">
        <v>9</v>
      </c>
    </row>
    <row r="100" spans="2:10" x14ac:dyDescent="0.3">
      <c r="B100" s="13">
        <v>1</v>
      </c>
      <c r="C100" t="s">
        <v>140</v>
      </c>
      <c r="D100" s="14">
        <v>11649600</v>
      </c>
      <c r="E100" t="s">
        <v>42</v>
      </c>
      <c r="G100" s="13">
        <v>1</v>
      </c>
      <c r="H100" t="s">
        <v>140</v>
      </c>
      <c r="I100" s="14">
        <v>63849500</v>
      </c>
      <c r="J100" t="s">
        <v>51</v>
      </c>
    </row>
    <row r="101" spans="2:10" x14ac:dyDescent="0.3">
      <c r="B101" s="13">
        <v>0.49480000000000002</v>
      </c>
      <c r="C101" t="s">
        <v>141</v>
      </c>
      <c r="D101" s="14">
        <v>5764550</v>
      </c>
      <c r="E101" t="s">
        <v>42</v>
      </c>
      <c r="G101" s="13">
        <v>0.314</v>
      </c>
      <c r="H101" t="s">
        <v>141</v>
      </c>
      <c r="I101" s="14">
        <v>20045800</v>
      </c>
      <c r="J101" t="s">
        <v>51</v>
      </c>
    </row>
    <row r="102" spans="2:10" x14ac:dyDescent="0.3">
      <c r="B102" s="13">
        <v>0.20030000000000001</v>
      </c>
      <c r="C102" t="s">
        <v>45</v>
      </c>
      <c r="D102" s="14">
        <v>2333620</v>
      </c>
      <c r="E102" t="s">
        <v>42</v>
      </c>
      <c r="G102" s="13">
        <v>0.308</v>
      </c>
      <c r="H102" t="s">
        <v>44</v>
      </c>
      <c r="I102" s="14">
        <v>19665100</v>
      </c>
      <c r="J102" t="s">
        <v>51</v>
      </c>
    </row>
    <row r="103" spans="2:10" x14ac:dyDescent="0.3">
      <c r="B103" s="13">
        <v>0.16120000000000001</v>
      </c>
      <c r="C103" t="s">
        <v>142</v>
      </c>
      <c r="D103" s="14">
        <v>1878230</v>
      </c>
      <c r="E103" t="s">
        <v>42</v>
      </c>
      <c r="G103" s="13">
        <v>0.17119999999999999</v>
      </c>
      <c r="H103" t="s">
        <v>45</v>
      </c>
      <c r="I103" s="14">
        <v>10929900</v>
      </c>
      <c r="J103" t="s">
        <v>51</v>
      </c>
    </row>
    <row r="104" spans="2:10" x14ac:dyDescent="0.3">
      <c r="B104" s="13">
        <v>9.7299999999999998E-2</v>
      </c>
      <c r="C104" t="s">
        <v>44</v>
      </c>
      <c r="D104" s="14">
        <v>1133140</v>
      </c>
      <c r="E104" t="s">
        <v>42</v>
      </c>
      <c r="G104" s="13">
        <v>0.14760000000000001</v>
      </c>
      <c r="H104" t="s">
        <v>142</v>
      </c>
      <c r="I104" s="14">
        <v>9426480</v>
      </c>
      <c r="J104" t="s">
        <v>51</v>
      </c>
    </row>
    <row r="105" spans="2:10" x14ac:dyDescent="0.3">
      <c r="B105" s="13">
        <v>4.6399999999999997E-2</v>
      </c>
      <c r="C105" t="s">
        <v>49</v>
      </c>
      <c r="D105" s="14">
        <v>540022</v>
      </c>
      <c r="E105" t="s">
        <v>42</v>
      </c>
      <c r="G105" s="13">
        <v>5.9200000000000003E-2</v>
      </c>
      <c r="H105" t="s">
        <v>49</v>
      </c>
      <c r="I105" s="14">
        <v>3782220</v>
      </c>
      <c r="J105" t="s">
        <v>51</v>
      </c>
    </row>
    <row r="107" spans="2:10" x14ac:dyDescent="0.3">
      <c r="B107" t="s">
        <v>361</v>
      </c>
      <c r="C107" t="s">
        <v>148</v>
      </c>
      <c r="G107" t="s">
        <v>147</v>
      </c>
      <c r="H107" t="s">
        <v>149</v>
      </c>
    </row>
    <row r="108" spans="2:10" x14ac:dyDescent="0.3">
      <c r="B108" t="s">
        <v>39</v>
      </c>
      <c r="C108" t="s">
        <v>0</v>
      </c>
      <c r="D108" t="s">
        <v>40</v>
      </c>
      <c r="E108" t="s">
        <v>9</v>
      </c>
      <c r="G108" t="s">
        <v>39</v>
      </c>
      <c r="H108" t="s">
        <v>0</v>
      </c>
      <c r="I108" t="s">
        <v>40</v>
      </c>
      <c r="J108" t="s">
        <v>9</v>
      </c>
    </row>
    <row r="109" spans="2:10" x14ac:dyDescent="0.3">
      <c r="B109" s="13">
        <v>1</v>
      </c>
      <c r="C109" t="s">
        <v>144</v>
      </c>
      <c r="D109">
        <v>8.0372000000000003</v>
      </c>
      <c r="E109" t="s">
        <v>42</v>
      </c>
      <c r="G109" s="13">
        <v>1</v>
      </c>
      <c r="H109" t="s">
        <v>144</v>
      </c>
      <c r="I109">
        <v>58.856810000000003</v>
      </c>
      <c r="J109" t="s">
        <v>51</v>
      </c>
    </row>
    <row r="110" spans="2:10" x14ac:dyDescent="0.3">
      <c r="B110" s="13">
        <v>0.73429999999999995</v>
      </c>
      <c r="C110" t="s">
        <v>145</v>
      </c>
      <c r="D110">
        <v>5.9016299999999999</v>
      </c>
      <c r="E110" t="s">
        <v>42</v>
      </c>
      <c r="G110" s="13">
        <v>0.75580000000000003</v>
      </c>
      <c r="H110" t="s">
        <v>145</v>
      </c>
      <c r="I110">
        <v>44.484369999999998</v>
      </c>
      <c r="J110" t="s">
        <v>51</v>
      </c>
    </row>
    <row r="111" spans="2:10" x14ac:dyDescent="0.3">
      <c r="B111" s="13">
        <v>0.2666</v>
      </c>
      <c r="C111" t="s">
        <v>146</v>
      </c>
      <c r="D111">
        <v>2.1428799999999999</v>
      </c>
      <c r="E111" t="s">
        <v>42</v>
      </c>
      <c r="G111" s="13">
        <v>0.24510000000000001</v>
      </c>
      <c r="H111" t="s">
        <v>146</v>
      </c>
      <c r="I111">
        <v>14.425990000000001</v>
      </c>
      <c r="J111" t="s">
        <v>51</v>
      </c>
    </row>
    <row r="113" spans="2:10" x14ac:dyDescent="0.3">
      <c r="B113" t="s">
        <v>137</v>
      </c>
      <c r="C113" t="s">
        <v>148</v>
      </c>
      <c r="G113" t="s">
        <v>137</v>
      </c>
      <c r="H113" t="s">
        <v>149</v>
      </c>
    </row>
    <row r="114" spans="2:10" x14ac:dyDescent="0.3">
      <c r="B114" t="s">
        <v>39</v>
      </c>
      <c r="C114" t="s">
        <v>0</v>
      </c>
      <c r="D114" t="s">
        <v>40</v>
      </c>
      <c r="E114" t="s">
        <v>9</v>
      </c>
      <c r="G114" t="s">
        <v>39</v>
      </c>
      <c r="H114" t="s">
        <v>0</v>
      </c>
      <c r="I114" t="s">
        <v>40</v>
      </c>
      <c r="J114" t="s">
        <v>9</v>
      </c>
    </row>
    <row r="115" spans="2:10" x14ac:dyDescent="0.3">
      <c r="B115" s="13">
        <v>1</v>
      </c>
      <c r="C115" t="s">
        <v>150</v>
      </c>
      <c r="D115">
        <v>1.6821999999999999</v>
      </c>
      <c r="E115" t="s">
        <v>42</v>
      </c>
      <c r="G115" s="13">
        <v>1</v>
      </c>
      <c r="H115" t="s">
        <v>150</v>
      </c>
      <c r="I115">
        <v>0.56486999999999998</v>
      </c>
      <c r="J115" t="s">
        <v>51</v>
      </c>
    </row>
    <row r="117" spans="2:10" x14ac:dyDescent="0.3">
      <c r="B117" t="s">
        <v>166</v>
      </c>
      <c r="C117" t="s">
        <v>148</v>
      </c>
      <c r="G117" t="s">
        <v>166</v>
      </c>
      <c r="H117" t="s">
        <v>149</v>
      </c>
    </row>
    <row r="118" spans="2:10" x14ac:dyDescent="0.3">
      <c r="B118" t="s">
        <v>39</v>
      </c>
      <c r="C118" t="s">
        <v>0</v>
      </c>
      <c r="D118" t="s">
        <v>40</v>
      </c>
      <c r="E118" t="s">
        <v>9</v>
      </c>
      <c r="G118" t="s">
        <v>39</v>
      </c>
      <c r="H118" t="s">
        <v>0</v>
      </c>
      <c r="I118" t="s">
        <v>40</v>
      </c>
      <c r="J118" t="s">
        <v>9</v>
      </c>
    </row>
    <row r="119" spans="2:10" x14ac:dyDescent="0.3">
      <c r="B119" s="13">
        <v>1</v>
      </c>
      <c r="C119" t="s">
        <v>151</v>
      </c>
      <c r="D119">
        <v>2.3165100000000001</v>
      </c>
      <c r="E119" t="s">
        <v>42</v>
      </c>
      <c r="G119" s="13">
        <v>1</v>
      </c>
      <c r="H119" t="s">
        <v>151</v>
      </c>
      <c r="I119">
        <v>9.0670599999999997</v>
      </c>
      <c r="J119" t="s">
        <v>51</v>
      </c>
    </row>
    <row r="120" spans="2:10" x14ac:dyDescent="0.3">
      <c r="B120" s="13">
        <v>0.71799999999999997</v>
      </c>
      <c r="C120" t="s">
        <v>152</v>
      </c>
      <c r="D120">
        <v>1.6631499999999999</v>
      </c>
      <c r="E120" t="s">
        <v>42</v>
      </c>
      <c r="G120" s="13">
        <v>0.75460000000000005</v>
      </c>
      <c r="H120" t="s">
        <v>152</v>
      </c>
      <c r="I120">
        <v>6.8423699999999998</v>
      </c>
      <c r="J120" t="s">
        <v>51</v>
      </c>
    </row>
    <row r="121" spans="2:10" x14ac:dyDescent="0.3">
      <c r="B121" s="13">
        <v>8.9800000000000005E-2</v>
      </c>
      <c r="C121" t="s">
        <v>153</v>
      </c>
      <c r="D121">
        <v>0.20805000000000001</v>
      </c>
      <c r="E121" t="s">
        <v>42</v>
      </c>
      <c r="G121" s="13">
        <v>9.1899999999999996E-2</v>
      </c>
      <c r="H121" t="s">
        <v>153</v>
      </c>
      <c r="I121">
        <v>0.83306999999999998</v>
      </c>
      <c r="J121" t="s">
        <v>51</v>
      </c>
    </row>
    <row r="122" spans="2:10" x14ac:dyDescent="0.3">
      <c r="B122" s="13">
        <v>6.7900000000000002E-2</v>
      </c>
      <c r="C122" t="s">
        <v>154</v>
      </c>
      <c r="D122">
        <v>0.15740000000000001</v>
      </c>
      <c r="E122" t="s">
        <v>42</v>
      </c>
      <c r="G122" s="13">
        <v>7.8100000000000003E-2</v>
      </c>
      <c r="H122" t="s">
        <v>154</v>
      </c>
      <c r="I122">
        <v>0.70840000000000003</v>
      </c>
      <c r="J122" t="s">
        <v>51</v>
      </c>
    </row>
    <row r="123" spans="2:10" x14ac:dyDescent="0.3">
      <c r="B123" s="13">
        <v>4.3400000000000001E-2</v>
      </c>
      <c r="C123" t="s">
        <v>155</v>
      </c>
      <c r="D123">
        <v>0.10044</v>
      </c>
      <c r="E123" t="s">
        <v>42</v>
      </c>
      <c r="G123" s="13">
        <v>4.2500000000000003E-2</v>
      </c>
      <c r="H123" t="s">
        <v>155</v>
      </c>
      <c r="I123">
        <v>0.38536999999999999</v>
      </c>
      <c r="J123" t="s">
        <v>51</v>
      </c>
    </row>
    <row r="124" spans="2:10" x14ac:dyDescent="0.3">
      <c r="B124" s="13">
        <v>4.1700000000000001E-2</v>
      </c>
      <c r="C124" t="s">
        <v>103</v>
      </c>
      <c r="D124">
        <v>9.6530000000000005E-2</v>
      </c>
      <c r="E124" t="s">
        <v>42</v>
      </c>
      <c r="G124" s="13">
        <v>1.3899999999999999E-2</v>
      </c>
      <c r="H124" t="s">
        <v>156</v>
      </c>
      <c r="I124">
        <v>0.12570000000000001</v>
      </c>
      <c r="J124" t="s">
        <v>51</v>
      </c>
    </row>
    <row r="125" spans="2:10" x14ac:dyDescent="0.3">
      <c r="B125" s="13">
        <v>2.3900000000000001E-2</v>
      </c>
      <c r="C125" t="s">
        <v>156</v>
      </c>
      <c r="D125">
        <v>5.527E-2</v>
      </c>
      <c r="E125" t="s">
        <v>42</v>
      </c>
      <c r="G125" s="13">
        <v>1.03E-2</v>
      </c>
      <c r="H125" t="s">
        <v>157</v>
      </c>
      <c r="I125">
        <v>9.3160000000000007E-2</v>
      </c>
      <c r="J125" t="s">
        <v>51</v>
      </c>
    </row>
    <row r="126" spans="2:10" x14ac:dyDescent="0.3">
      <c r="B126" s="13">
        <v>1.38E-2</v>
      </c>
      <c r="C126" t="s">
        <v>157</v>
      </c>
      <c r="D126">
        <v>3.2059999999999998E-2</v>
      </c>
      <c r="E126" t="s">
        <v>42</v>
      </c>
      <c r="G126" s="13">
        <v>7.1999999999999998E-3</v>
      </c>
      <c r="H126" t="s">
        <v>103</v>
      </c>
      <c r="I126">
        <v>6.5129999999999993E-2</v>
      </c>
      <c r="J126" t="s">
        <v>51</v>
      </c>
    </row>
    <row r="127" spans="2:10" x14ac:dyDescent="0.3">
      <c r="B127" s="13">
        <v>5.0000000000000001E-4</v>
      </c>
      <c r="C127" t="s">
        <v>158</v>
      </c>
      <c r="D127">
        <v>1.1900000000000001E-3</v>
      </c>
      <c r="E127" t="s">
        <v>42</v>
      </c>
      <c r="G127" s="13">
        <v>4.0000000000000002E-4</v>
      </c>
      <c r="H127" t="s">
        <v>162</v>
      </c>
      <c r="I127">
        <v>3.8600000000000001E-3</v>
      </c>
      <c r="J127" t="s">
        <v>51</v>
      </c>
    </row>
    <row r="128" spans="2:10" x14ac:dyDescent="0.3">
      <c r="B128" s="13">
        <v>5.0000000000000001E-4</v>
      </c>
      <c r="C128" t="s">
        <v>159</v>
      </c>
      <c r="D128">
        <v>1.1100000000000001E-3</v>
      </c>
      <c r="E128" t="s">
        <v>42</v>
      </c>
      <c r="G128" s="13">
        <v>4.0000000000000002E-4</v>
      </c>
      <c r="H128" t="s">
        <v>158</v>
      </c>
      <c r="I128">
        <v>3.4399999999999999E-3</v>
      </c>
      <c r="J128" t="s">
        <v>51</v>
      </c>
    </row>
    <row r="129" spans="2:10" x14ac:dyDescent="0.3">
      <c r="B129" s="13">
        <v>4.0000000000000002E-4</v>
      </c>
      <c r="C129" t="s">
        <v>160</v>
      </c>
      <c r="D129">
        <v>8.4999999999999995E-4</v>
      </c>
      <c r="E129" t="s">
        <v>42</v>
      </c>
      <c r="G129" s="13">
        <v>2.9999999999999997E-4</v>
      </c>
      <c r="H129" t="s">
        <v>159</v>
      </c>
      <c r="I129">
        <v>2.6099999999999999E-3</v>
      </c>
      <c r="J129" t="s">
        <v>51</v>
      </c>
    </row>
    <row r="130" spans="2:10" x14ac:dyDescent="0.3">
      <c r="B130" s="13">
        <v>4.0000000000000002E-4</v>
      </c>
      <c r="C130" t="s">
        <v>161</v>
      </c>
      <c r="D130">
        <v>8.3000000000000001E-4</v>
      </c>
      <c r="E130" t="s">
        <v>42</v>
      </c>
      <c r="G130" s="13">
        <v>2.9999999999999997E-4</v>
      </c>
      <c r="H130" t="s">
        <v>161</v>
      </c>
      <c r="I130">
        <v>2.33E-3</v>
      </c>
      <c r="J130" t="s">
        <v>51</v>
      </c>
    </row>
    <row r="131" spans="2:10" x14ac:dyDescent="0.3">
      <c r="B131" s="13">
        <v>1E-4</v>
      </c>
      <c r="C131" t="s">
        <v>162</v>
      </c>
      <c r="D131">
        <v>1.8000000000000001E-4</v>
      </c>
      <c r="E131" t="s">
        <v>42</v>
      </c>
      <c r="G131" s="13">
        <v>2.0000000000000001E-4</v>
      </c>
      <c r="H131" t="s">
        <v>160</v>
      </c>
      <c r="I131">
        <v>2.1800000000000001E-3</v>
      </c>
      <c r="J131" t="s">
        <v>51</v>
      </c>
    </row>
    <row r="132" spans="2:10" x14ac:dyDescent="0.3">
      <c r="B132" s="13">
        <v>0</v>
      </c>
      <c r="C132" t="s">
        <v>163</v>
      </c>
      <c r="D132" s="14">
        <v>5.7588299999999999E-5</v>
      </c>
      <c r="E132" t="s">
        <v>42</v>
      </c>
      <c r="G132" s="13">
        <v>1E-4</v>
      </c>
      <c r="H132" t="s">
        <v>164</v>
      </c>
      <c r="I132">
        <v>1.1900000000000001E-3</v>
      </c>
      <c r="J132" t="s">
        <v>51</v>
      </c>
    </row>
    <row r="133" spans="2:10" x14ac:dyDescent="0.3">
      <c r="B133" s="13">
        <v>0</v>
      </c>
      <c r="C133" t="s">
        <v>164</v>
      </c>
      <c r="D133" s="14">
        <v>4.09594E-5</v>
      </c>
      <c r="E133" t="s">
        <v>42</v>
      </c>
      <c r="G133" s="13">
        <v>1E-4</v>
      </c>
      <c r="H133" t="s">
        <v>163</v>
      </c>
      <c r="I133">
        <v>7.3999999999999999E-4</v>
      </c>
      <c r="J133" t="s">
        <v>51</v>
      </c>
    </row>
    <row r="134" spans="2:10" x14ac:dyDescent="0.3">
      <c r="B134" s="13">
        <v>0</v>
      </c>
      <c r="C134" t="s">
        <v>165</v>
      </c>
      <c r="D134" s="14">
        <v>1.9698199999999999E-6</v>
      </c>
      <c r="E134" t="s">
        <v>42</v>
      </c>
      <c r="G134" s="13">
        <v>0</v>
      </c>
      <c r="H134" t="s">
        <v>165</v>
      </c>
      <c r="I134" s="14">
        <v>1.4046000000000001E-5</v>
      </c>
      <c r="J134" t="s">
        <v>51</v>
      </c>
    </row>
    <row r="136" spans="2:10" x14ac:dyDescent="0.3">
      <c r="B136" t="s">
        <v>136</v>
      </c>
      <c r="C136" t="s">
        <v>148</v>
      </c>
      <c r="G136" t="s">
        <v>136</v>
      </c>
      <c r="H136" t="s">
        <v>149</v>
      </c>
    </row>
    <row r="137" spans="2:10" x14ac:dyDescent="0.3">
      <c r="B137" t="s">
        <v>39</v>
      </c>
      <c r="C137" t="s">
        <v>0</v>
      </c>
      <c r="D137" t="s">
        <v>40</v>
      </c>
      <c r="E137" t="s">
        <v>9</v>
      </c>
      <c r="G137" t="s">
        <v>39</v>
      </c>
      <c r="H137" t="s">
        <v>0</v>
      </c>
      <c r="I137" t="s">
        <v>40</v>
      </c>
      <c r="J137" t="s">
        <v>9</v>
      </c>
    </row>
    <row r="138" spans="2:10" x14ac:dyDescent="0.3">
      <c r="B138" s="13">
        <v>1</v>
      </c>
      <c r="C138" t="s">
        <v>167</v>
      </c>
      <c r="D138" s="14">
        <v>68793.7</v>
      </c>
      <c r="E138" t="s">
        <v>42</v>
      </c>
      <c r="G138" s="13">
        <v>1</v>
      </c>
      <c r="H138" t="s">
        <v>167</v>
      </c>
      <c r="I138" s="14">
        <v>10889000</v>
      </c>
      <c r="J138" t="s">
        <v>51</v>
      </c>
    </row>
    <row r="139" spans="2:10" x14ac:dyDescent="0.3">
      <c r="B139" s="13">
        <v>0.96160000000000001</v>
      </c>
      <c r="C139" t="s">
        <v>55</v>
      </c>
      <c r="D139" s="14">
        <v>66150.8</v>
      </c>
      <c r="E139" t="s">
        <v>42</v>
      </c>
      <c r="G139" s="13">
        <v>0.99880000000000002</v>
      </c>
      <c r="H139" t="s">
        <v>55</v>
      </c>
      <c r="I139" s="14">
        <v>10876100</v>
      </c>
      <c r="J139" t="s">
        <v>51</v>
      </c>
    </row>
    <row r="140" spans="2:10" x14ac:dyDescent="0.3">
      <c r="B140" s="13">
        <v>3.78E-2</v>
      </c>
      <c r="C140" t="s">
        <v>168</v>
      </c>
      <c r="D140">
        <v>2602.3287999999998</v>
      </c>
      <c r="E140" t="s">
        <v>42</v>
      </c>
      <c r="G140" s="13">
        <v>1.1000000000000001E-3</v>
      </c>
      <c r="H140" t="s">
        <v>168</v>
      </c>
      <c r="I140" s="14">
        <v>12466.1</v>
      </c>
      <c r="J140" t="s">
        <v>51</v>
      </c>
    </row>
    <row r="141" spans="2:10" x14ac:dyDescent="0.3">
      <c r="B141" s="13">
        <v>5.0000000000000001E-4</v>
      </c>
      <c r="C141" t="s">
        <v>169</v>
      </c>
      <c r="D141">
        <v>34.9512</v>
      </c>
      <c r="E141" t="s">
        <v>42</v>
      </c>
      <c r="G141" s="13">
        <v>1E-4</v>
      </c>
      <c r="H141" t="s">
        <v>169</v>
      </c>
      <c r="I141">
        <v>863.82557999999995</v>
      </c>
      <c r="J141" t="s">
        <v>51</v>
      </c>
    </row>
    <row r="142" spans="2:10" x14ac:dyDescent="0.3">
      <c r="B142" s="13">
        <v>2.0000000000000001E-4</v>
      </c>
      <c r="C142" t="s">
        <v>170</v>
      </c>
      <c r="D142">
        <v>10.47695</v>
      </c>
      <c r="E142" t="s">
        <v>42</v>
      </c>
      <c r="G142" s="13">
        <v>0</v>
      </c>
      <c r="H142" t="s">
        <v>170</v>
      </c>
      <c r="I142">
        <v>358.71447999999998</v>
      </c>
      <c r="J142" t="s">
        <v>51</v>
      </c>
    </row>
    <row r="143" spans="2:10" x14ac:dyDescent="0.3">
      <c r="B143" s="13">
        <v>0</v>
      </c>
      <c r="C143" t="s">
        <v>101</v>
      </c>
      <c r="D143">
        <v>4.8489999999999998E-2</v>
      </c>
      <c r="E143" t="s">
        <v>42</v>
      </c>
      <c r="G143" s="13">
        <v>0</v>
      </c>
      <c r="H143" t="s">
        <v>101</v>
      </c>
      <c r="I143">
        <v>0.13396</v>
      </c>
      <c r="J143" t="s">
        <v>51</v>
      </c>
    </row>
    <row r="144" spans="2:10" x14ac:dyDescent="0.3">
      <c r="B144" s="13">
        <v>0</v>
      </c>
      <c r="C144" t="s">
        <v>102</v>
      </c>
      <c r="D144">
        <v>1.6670000000000001E-2</v>
      </c>
      <c r="E144" t="s">
        <v>42</v>
      </c>
      <c r="G144" s="13">
        <v>0</v>
      </c>
      <c r="H144" t="s">
        <v>102</v>
      </c>
      <c r="I144">
        <v>6.6110000000000002E-2</v>
      </c>
      <c r="J144" t="s">
        <v>51</v>
      </c>
    </row>
    <row r="145" spans="2:10" x14ac:dyDescent="0.3">
      <c r="B145" s="13">
        <v>0</v>
      </c>
      <c r="C145" t="s">
        <v>103</v>
      </c>
      <c r="D145">
        <v>3.3999999999999998E-3</v>
      </c>
      <c r="E145" t="s">
        <v>42</v>
      </c>
      <c r="G145" s="13">
        <v>0</v>
      </c>
      <c r="H145" t="s">
        <v>104</v>
      </c>
      <c r="I145">
        <v>3.32E-3</v>
      </c>
      <c r="J145" t="s">
        <v>51</v>
      </c>
    </row>
    <row r="146" spans="2:10" x14ac:dyDescent="0.3">
      <c r="B146" s="13">
        <v>0</v>
      </c>
      <c r="C146" t="s">
        <v>104</v>
      </c>
      <c r="D146">
        <v>1.72E-3</v>
      </c>
      <c r="E146" t="s">
        <v>42</v>
      </c>
      <c r="G146" s="13">
        <v>0</v>
      </c>
      <c r="H146" t="s">
        <v>103</v>
      </c>
      <c r="I146">
        <v>2.2899999999999999E-3</v>
      </c>
      <c r="J146" t="s">
        <v>51</v>
      </c>
    </row>
    <row r="148" spans="2:10" x14ac:dyDescent="0.3">
      <c r="B148" t="s">
        <v>177</v>
      </c>
      <c r="C148" t="s">
        <v>175</v>
      </c>
      <c r="G148" t="s">
        <v>177</v>
      </c>
      <c r="H148" t="s">
        <v>176</v>
      </c>
    </row>
    <row r="149" spans="2:10" x14ac:dyDescent="0.3">
      <c r="B149" t="s">
        <v>39</v>
      </c>
      <c r="C149" t="s">
        <v>0</v>
      </c>
      <c r="D149" t="s">
        <v>40</v>
      </c>
      <c r="E149" t="s">
        <v>9</v>
      </c>
      <c r="G149" t="s">
        <v>39</v>
      </c>
      <c r="H149" t="s">
        <v>0</v>
      </c>
      <c r="I149" t="s">
        <v>40</v>
      </c>
      <c r="J149" t="s">
        <v>9</v>
      </c>
    </row>
    <row r="150" spans="2:10" x14ac:dyDescent="0.3">
      <c r="B150" s="13">
        <v>1</v>
      </c>
      <c r="C150" t="s">
        <v>173</v>
      </c>
      <c r="D150">
        <v>6.5119999999999997E-2</v>
      </c>
      <c r="E150" t="s">
        <v>42</v>
      </c>
      <c r="G150" s="13">
        <v>1</v>
      </c>
      <c r="H150" t="s">
        <v>173</v>
      </c>
      <c r="I150">
        <v>0.11763</v>
      </c>
      <c r="J150" t="s">
        <v>51</v>
      </c>
    </row>
    <row r="152" spans="2:10" x14ac:dyDescent="0.3">
      <c r="B152" t="s">
        <v>178</v>
      </c>
      <c r="C152" t="s">
        <v>175</v>
      </c>
      <c r="G152" t="s">
        <v>178</v>
      </c>
      <c r="H152" t="s">
        <v>176</v>
      </c>
    </row>
    <row r="153" spans="2:10" x14ac:dyDescent="0.3">
      <c r="B153" t="s">
        <v>39</v>
      </c>
      <c r="C153" t="s">
        <v>0</v>
      </c>
      <c r="D153" t="s">
        <v>40</v>
      </c>
      <c r="E153" t="s">
        <v>9</v>
      </c>
      <c r="G153" t="s">
        <v>39</v>
      </c>
      <c r="H153" t="s">
        <v>0</v>
      </c>
      <c r="I153" t="s">
        <v>40</v>
      </c>
      <c r="J153" t="s">
        <v>9</v>
      </c>
    </row>
    <row r="154" spans="2:10" x14ac:dyDescent="0.3">
      <c r="B154" s="13">
        <v>1</v>
      </c>
      <c r="C154" t="s">
        <v>179</v>
      </c>
      <c r="D154">
        <v>5.8290000000000002E-2</v>
      </c>
      <c r="E154" t="s">
        <v>42</v>
      </c>
      <c r="G154" s="13">
        <v>1</v>
      </c>
      <c r="H154" t="s">
        <v>179</v>
      </c>
      <c r="I154">
        <v>9.2099999999999994E-3</v>
      </c>
      <c r="J154" t="s">
        <v>51</v>
      </c>
    </row>
    <row r="156" spans="2:10" x14ac:dyDescent="0.3">
      <c r="B156" t="s">
        <v>180</v>
      </c>
      <c r="C156" t="s">
        <v>175</v>
      </c>
      <c r="G156" t="s">
        <v>180</v>
      </c>
      <c r="H156" t="s">
        <v>176</v>
      </c>
    </row>
    <row r="157" spans="2:10" x14ac:dyDescent="0.3">
      <c r="B157" t="s">
        <v>39</v>
      </c>
      <c r="C157" t="s">
        <v>0</v>
      </c>
      <c r="D157" t="s">
        <v>40</v>
      </c>
      <c r="E157" t="s">
        <v>9</v>
      </c>
      <c r="G157" t="s">
        <v>39</v>
      </c>
      <c r="H157" t="s">
        <v>0</v>
      </c>
      <c r="I157" t="s">
        <v>40</v>
      </c>
      <c r="J157" t="s">
        <v>9</v>
      </c>
    </row>
    <row r="158" spans="2:10" x14ac:dyDescent="0.3">
      <c r="B158" s="13">
        <v>1</v>
      </c>
      <c r="C158" t="s">
        <v>181</v>
      </c>
      <c r="D158">
        <v>5.8029999999999998E-2</v>
      </c>
      <c r="E158" t="s">
        <v>42</v>
      </c>
      <c r="G158" s="13">
        <v>1</v>
      </c>
      <c r="H158" t="s">
        <v>181</v>
      </c>
      <c r="I158">
        <v>1.005E-2</v>
      </c>
      <c r="J158" t="s">
        <v>51</v>
      </c>
    </row>
    <row r="160" spans="2:10" x14ac:dyDescent="0.3">
      <c r="B160" t="s">
        <v>340</v>
      </c>
      <c r="C160" t="s">
        <v>175</v>
      </c>
      <c r="G160" t="s">
        <v>340</v>
      </c>
      <c r="H160" t="s">
        <v>176</v>
      </c>
    </row>
    <row r="161" spans="2:10" x14ac:dyDescent="0.3">
      <c r="B161" t="s">
        <v>39</v>
      </c>
      <c r="C161" t="s">
        <v>0</v>
      </c>
      <c r="D161" t="s">
        <v>40</v>
      </c>
      <c r="E161" t="s">
        <v>9</v>
      </c>
      <c r="G161" t="s">
        <v>39</v>
      </c>
      <c r="H161" t="s">
        <v>0</v>
      </c>
      <c r="I161" t="s">
        <v>40</v>
      </c>
      <c r="J161" t="s">
        <v>9</v>
      </c>
    </row>
    <row r="162" spans="2:10" x14ac:dyDescent="0.3">
      <c r="B162" s="13">
        <v>1</v>
      </c>
      <c r="C162" t="s">
        <v>182</v>
      </c>
      <c r="D162">
        <v>9.8799999999999999E-3</v>
      </c>
      <c r="E162" t="s">
        <v>42</v>
      </c>
      <c r="G162" s="13">
        <v>1</v>
      </c>
      <c r="H162" t="s">
        <v>182</v>
      </c>
      <c r="I162">
        <v>5.1999999999999995E-4</v>
      </c>
      <c r="J162" t="s">
        <v>51</v>
      </c>
    </row>
    <row r="164" spans="2:10" x14ac:dyDescent="0.3">
      <c r="B164" t="s">
        <v>314</v>
      </c>
      <c r="C164" t="s">
        <v>175</v>
      </c>
      <c r="G164" t="s">
        <v>314</v>
      </c>
      <c r="H164" t="s">
        <v>176</v>
      </c>
    </row>
    <row r="165" spans="2:10" x14ac:dyDescent="0.3">
      <c r="B165" t="s">
        <v>39</v>
      </c>
      <c r="C165" t="s">
        <v>0</v>
      </c>
      <c r="D165" t="s">
        <v>40</v>
      </c>
      <c r="E165" t="s">
        <v>9</v>
      </c>
      <c r="G165" t="s">
        <v>39</v>
      </c>
      <c r="H165" t="s">
        <v>0</v>
      </c>
      <c r="I165" t="s">
        <v>40</v>
      </c>
      <c r="J165" t="s">
        <v>9</v>
      </c>
    </row>
    <row r="166" spans="2:10" x14ac:dyDescent="0.3">
      <c r="B166" s="13">
        <v>1</v>
      </c>
      <c r="C166" t="s">
        <v>184</v>
      </c>
      <c r="D166">
        <v>7.4900000000000001E-3</v>
      </c>
      <c r="E166" t="s">
        <v>42</v>
      </c>
      <c r="G166" s="13">
        <v>1</v>
      </c>
      <c r="H166" t="s">
        <v>184</v>
      </c>
      <c r="I166">
        <v>5.2500000000000003E-3</v>
      </c>
      <c r="J166" t="s">
        <v>51</v>
      </c>
    </row>
    <row r="167" spans="2:10" x14ac:dyDescent="0.3">
      <c r="C167" s="13"/>
      <c r="H167" s="13"/>
    </row>
    <row r="168" spans="2:10" x14ac:dyDescent="0.3">
      <c r="B168" t="s">
        <v>193</v>
      </c>
      <c r="C168" s="13" t="s">
        <v>175</v>
      </c>
      <c r="G168" t="s">
        <v>193</v>
      </c>
      <c r="H168" t="s">
        <v>176</v>
      </c>
    </row>
    <row r="169" spans="2:10" x14ac:dyDescent="0.3">
      <c r="B169" t="s">
        <v>39</v>
      </c>
      <c r="C169" t="s">
        <v>0</v>
      </c>
      <c r="D169" t="s">
        <v>40</v>
      </c>
      <c r="E169" t="s">
        <v>9</v>
      </c>
      <c r="G169" t="s">
        <v>39</v>
      </c>
      <c r="H169" t="s">
        <v>0</v>
      </c>
      <c r="I169" t="s">
        <v>40</v>
      </c>
      <c r="J169" t="s">
        <v>9</v>
      </c>
    </row>
    <row r="170" spans="2:10" x14ac:dyDescent="0.3">
      <c r="B170" s="13">
        <v>1</v>
      </c>
      <c r="C170" t="s">
        <v>192</v>
      </c>
      <c r="D170">
        <v>8.6559999999999998E-2</v>
      </c>
      <c r="E170" t="s">
        <v>42</v>
      </c>
      <c r="G170" s="13">
        <v>1</v>
      </c>
      <c r="H170" t="s">
        <v>192</v>
      </c>
      <c r="I170">
        <v>0.12452000000000001</v>
      </c>
      <c r="J170" t="s">
        <v>51</v>
      </c>
    </row>
    <row r="171" spans="2:10" x14ac:dyDescent="0.3">
      <c r="C171" s="13"/>
      <c r="H171" s="13"/>
    </row>
    <row r="173" spans="2:10" x14ac:dyDescent="0.3">
      <c r="B173" t="s">
        <v>284</v>
      </c>
      <c r="C173" t="s">
        <v>200</v>
      </c>
    </row>
    <row r="174" spans="2:10" x14ac:dyDescent="0.3">
      <c r="B174" t="s">
        <v>39</v>
      </c>
      <c r="C174" t="s">
        <v>0</v>
      </c>
      <c r="D174" t="s">
        <v>40</v>
      </c>
      <c r="E174" t="s">
        <v>9</v>
      </c>
    </row>
    <row r="175" spans="2:10" x14ac:dyDescent="0.3">
      <c r="B175" s="13">
        <v>1</v>
      </c>
      <c r="C175" t="s">
        <v>194</v>
      </c>
      <c r="D175">
        <v>3.3779999999999998E-2</v>
      </c>
      <c r="E175" t="s">
        <v>42</v>
      </c>
    </row>
    <row r="176" spans="2:10" x14ac:dyDescent="0.3">
      <c r="B176" s="13">
        <v>0.88759999999999994</v>
      </c>
      <c r="C176" t="s">
        <v>195</v>
      </c>
      <c r="D176">
        <v>2.9989999999999999E-2</v>
      </c>
      <c r="E176" t="s">
        <v>42</v>
      </c>
    </row>
    <row r="177" spans="2:5" x14ac:dyDescent="0.3">
      <c r="B177" s="13">
        <v>0.1072</v>
      </c>
      <c r="C177" t="s">
        <v>196</v>
      </c>
      <c r="D177">
        <v>3.62E-3</v>
      </c>
      <c r="E177" t="s">
        <v>42</v>
      </c>
    </row>
    <row r="178" spans="2:5" x14ac:dyDescent="0.3">
      <c r="B178" s="13">
        <v>2.8999999999999998E-3</v>
      </c>
      <c r="C178" t="s">
        <v>197</v>
      </c>
      <c r="D178" s="14">
        <v>9.89656E-5</v>
      </c>
      <c r="E178" t="s">
        <v>42</v>
      </c>
    </row>
    <row r="179" spans="2:5" x14ac:dyDescent="0.3">
      <c r="B179" s="13">
        <v>2.3E-3</v>
      </c>
      <c r="C179" t="s">
        <v>198</v>
      </c>
      <c r="D179" s="14">
        <v>7.6910599999999995E-5</v>
      </c>
      <c r="E179" t="s">
        <v>42</v>
      </c>
    </row>
    <row r="180" spans="2:5" x14ac:dyDescent="0.3">
      <c r="B180" s="13">
        <v>0</v>
      </c>
      <c r="C180" t="s">
        <v>199</v>
      </c>
      <c r="D180" s="14">
        <v>3.8405599999999999E-13</v>
      </c>
      <c r="E180" t="s">
        <v>42</v>
      </c>
    </row>
    <row r="182" spans="2:5" x14ac:dyDescent="0.3">
      <c r="B182" t="s">
        <v>285</v>
      </c>
    </row>
    <row r="183" spans="2:5" x14ac:dyDescent="0.3">
      <c r="B183" t="s">
        <v>39</v>
      </c>
      <c r="C183" t="s">
        <v>0</v>
      </c>
      <c r="D183" t="s">
        <v>40</v>
      </c>
      <c r="E183" t="s">
        <v>9</v>
      </c>
    </row>
    <row r="184" spans="2:5" x14ac:dyDescent="0.3">
      <c r="B184" s="13">
        <v>1</v>
      </c>
      <c r="C184" t="s">
        <v>201</v>
      </c>
      <c r="D184">
        <v>7.8729999999999994E-2</v>
      </c>
      <c r="E184" t="s">
        <v>42</v>
      </c>
    </row>
    <row r="185" spans="2:5" x14ac:dyDescent="0.3">
      <c r="B185" s="13">
        <v>1</v>
      </c>
      <c r="C185" t="s">
        <v>202</v>
      </c>
      <c r="D185">
        <v>7.8729999999999994E-2</v>
      </c>
      <c r="E185" t="s">
        <v>42</v>
      </c>
    </row>
    <row r="187" spans="2:5" x14ac:dyDescent="0.3">
      <c r="B187" t="s">
        <v>362</v>
      </c>
    </row>
    <row r="188" spans="2:5" x14ac:dyDescent="0.3">
      <c r="B188" t="s">
        <v>39</v>
      </c>
      <c r="C188" t="s">
        <v>0</v>
      </c>
      <c r="D188" t="s">
        <v>40</v>
      </c>
      <c r="E188" t="s">
        <v>9</v>
      </c>
    </row>
    <row r="189" spans="2:5" x14ac:dyDescent="0.3">
      <c r="B189" s="13">
        <v>1</v>
      </c>
      <c r="C189" t="s">
        <v>363</v>
      </c>
      <c r="D189" s="14">
        <v>148508000</v>
      </c>
      <c r="E189" t="s">
        <v>42</v>
      </c>
    </row>
    <row r="192" spans="2:5" x14ac:dyDescent="0.3">
      <c r="B192" t="s">
        <v>39</v>
      </c>
      <c r="C192" t="s">
        <v>0</v>
      </c>
      <c r="D192" t="s">
        <v>40</v>
      </c>
      <c r="E192" t="s">
        <v>9</v>
      </c>
    </row>
    <row r="193" spans="2:9" x14ac:dyDescent="0.3">
      <c r="B193" s="13">
        <v>1</v>
      </c>
      <c r="C193" t="s">
        <v>390</v>
      </c>
      <c r="D193">
        <v>5.9300000000000004E-3</v>
      </c>
      <c r="E193" t="s">
        <v>42</v>
      </c>
    </row>
    <row r="195" spans="2:9" x14ac:dyDescent="0.3">
      <c r="B195" t="s">
        <v>39</v>
      </c>
      <c r="C195" t="s">
        <v>0</v>
      </c>
      <c r="D195" t="s">
        <v>40</v>
      </c>
      <c r="E195" t="s">
        <v>9</v>
      </c>
    </row>
    <row r="196" spans="2:9" x14ac:dyDescent="0.3">
      <c r="B196" s="13">
        <v>1</v>
      </c>
      <c r="C196" t="s">
        <v>391</v>
      </c>
      <c r="D196">
        <v>4.4999999999999999E-4</v>
      </c>
      <c r="E196" t="s">
        <v>42</v>
      </c>
    </row>
    <row r="198" spans="2:9" x14ac:dyDescent="0.3">
      <c r="B198" t="s">
        <v>39</v>
      </c>
      <c r="C198" t="s">
        <v>0</v>
      </c>
      <c r="D198" t="s">
        <v>40</v>
      </c>
      <c r="E198" t="s">
        <v>9</v>
      </c>
    </row>
    <row r="199" spans="2:9" x14ac:dyDescent="0.3">
      <c r="B199" s="13">
        <v>1</v>
      </c>
      <c r="C199" t="s">
        <v>392</v>
      </c>
      <c r="D199" s="14">
        <v>1.71673E-7</v>
      </c>
      <c r="E199" t="s">
        <v>393</v>
      </c>
    </row>
    <row r="201" spans="2:9" x14ac:dyDescent="0.3">
      <c r="B201" t="s">
        <v>39</v>
      </c>
      <c r="C201" t="s">
        <v>0</v>
      </c>
      <c r="D201" t="s">
        <v>40</v>
      </c>
      <c r="E201" t="s">
        <v>9</v>
      </c>
      <c r="G201" t="s">
        <v>394</v>
      </c>
      <c r="H201" t="s">
        <v>40</v>
      </c>
      <c r="I201" t="s">
        <v>9</v>
      </c>
    </row>
    <row r="202" spans="2:9" x14ac:dyDescent="0.3">
      <c r="B202" s="13">
        <v>1</v>
      </c>
      <c r="C202" t="s">
        <v>395</v>
      </c>
      <c r="D202">
        <v>0.15911</v>
      </c>
      <c r="E202" t="s">
        <v>42</v>
      </c>
      <c r="H202">
        <f>D203*(B203+B205+B209+B210+B211)/B203</f>
        <v>0.11742850470079091</v>
      </c>
      <c r="I202" t="s">
        <v>42</v>
      </c>
    </row>
    <row r="203" spans="2:9" x14ac:dyDescent="0.3">
      <c r="B203" s="13">
        <v>0.67010000000000003</v>
      </c>
      <c r="C203" t="s">
        <v>396</v>
      </c>
      <c r="D203">
        <v>0.10661</v>
      </c>
      <c r="E203" t="s">
        <v>42</v>
      </c>
    </row>
    <row r="204" spans="2:9" x14ac:dyDescent="0.3">
      <c r="B204" s="13">
        <v>0.1202</v>
      </c>
      <c r="C204" t="s">
        <v>397</v>
      </c>
      <c r="D204">
        <v>1.9120000000000002E-2</v>
      </c>
      <c r="E204" t="s">
        <v>42</v>
      </c>
    </row>
    <row r="205" spans="2:9" x14ac:dyDescent="0.3">
      <c r="B205" s="13">
        <v>6.0900000000000003E-2</v>
      </c>
      <c r="C205" t="s">
        <v>398</v>
      </c>
      <c r="D205">
        <v>9.6900000000000007E-3</v>
      </c>
      <c r="E205" t="s">
        <v>42</v>
      </c>
    </row>
    <row r="206" spans="2:9" x14ac:dyDescent="0.3">
      <c r="B206" s="13">
        <v>2.2200000000000001E-2</v>
      </c>
      <c r="C206" t="s">
        <v>66</v>
      </c>
      <c r="D206">
        <v>3.5300000000000002E-3</v>
      </c>
      <c r="E206" t="s">
        <v>42</v>
      </c>
    </row>
    <row r="207" spans="2:9" x14ac:dyDescent="0.3">
      <c r="B207" s="13">
        <v>1.72E-2</v>
      </c>
      <c r="C207" t="s">
        <v>65</v>
      </c>
      <c r="D207">
        <v>2.7399999999999998E-3</v>
      </c>
      <c r="E207" t="s">
        <v>42</v>
      </c>
    </row>
    <row r="208" spans="2:9" x14ac:dyDescent="0.3">
      <c r="B208" s="13">
        <v>4.3E-3</v>
      </c>
      <c r="C208" t="s">
        <v>399</v>
      </c>
      <c r="D208">
        <v>6.8000000000000005E-4</v>
      </c>
      <c r="E208" t="s">
        <v>42</v>
      </c>
    </row>
    <row r="209" spans="2:5" x14ac:dyDescent="0.3">
      <c r="B209" s="13">
        <v>3.7000000000000002E-3</v>
      </c>
      <c r="C209" t="s">
        <v>400</v>
      </c>
      <c r="D209">
        <v>5.9000000000000003E-4</v>
      </c>
      <c r="E209" t="s">
        <v>42</v>
      </c>
    </row>
    <row r="210" spans="2:5" x14ac:dyDescent="0.3">
      <c r="B210" s="13">
        <v>3.0000000000000001E-3</v>
      </c>
      <c r="C210" t="s">
        <v>401</v>
      </c>
      <c r="D210">
        <v>4.8000000000000001E-4</v>
      </c>
      <c r="E210" t="s">
        <v>42</v>
      </c>
    </row>
    <row r="211" spans="2:5" x14ac:dyDescent="0.3">
      <c r="B211" s="13">
        <v>4.0000000000000002E-4</v>
      </c>
      <c r="C211" t="s">
        <v>402</v>
      </c>
      <c r="D211" s="14">
        <v>6.7945600000000002E-5</v>
      </c>
      <c r="E211" t="s">
        <v>42</v>
      </c>
    </row>
    <row r="213" spans="2:5" x14ac:dyDescent="0.3">
      <c r="B213" t="s">
        <v>39</v>
      </c>
      <c r="C213" t="s">
        <v>0</v>
      </c>
      <c r="D213" t="s">
        <v>40</v>
      </c>
      <c r="E213" t="s">
        <v>9</v>
      </c>
    </row>
    <row r="214" spans="2:5" x14ac:dyDescent="0.3">
      <c r="B214" s="13">
        <v>1</v>
      </c>
      <c r="C214" t="s">
        <v>403</v>
      </c>
      <c r="D214">
        <v>0.41510999999999998</v>
      </c>
      <c r="E214" t="s">
        <v>42</v>
      </c>
    </row>
  </sheetData>
  <hyperlinks>
    <hyperlink ref="A1" location="Verzeichnis!A1" display="Verzeichnis" xr:uid="{E39EB94C-2D74-48C3-8AD8-674BF8D22B0C}"/>
  </hyperlinks>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52207-917B-4987-8DBB-26C4F7532406}">
  <dimension ref="A1:E8"/>
  <sheetViews>
    <sheetView workbookViewId="0">
      <selection activeCell="A20" sqref="A20"/>
    </sheetView>
  </sheetViews>
  <sheetFormatPr baseColWidth="10" defaultRowHeight="14.4" x14ac:dyDescent="0.3"/>
  <cols>
    <col min="1" max="1" width="48" bestFit="1" customWidth="1"/>
    <col min="2" max="2" width="12.88671875" customWidth="1"/>
  </cols>
  <sheetData>
    <row r="1" spans="1:5" x14ac:dyDescent="0.3">
      <c r="A1" t="s">
        <v>75</v>
      </c>
      <c r="B1" t="s">
        <v>9</v>
      </c>
      <c r="C1" t="s">
        <v>76</v>
      </c>
      <c r="E1" s="33" t="s">
        <v>266</v>
      </c>
    </row>
    <row r="2" spans="1:5" x14ac:dyDescent="0.3">
      <c r="A2" t="s">
        <v>341</v>
      </c>
      <c r="B2" t="s">
        <v>79</v>
      </c>
      <c r="C2">
        <v>0.84</v>
      </c>
    </row>
    <row r="3" spans="1:5" x14ac:dyDescent="0.3">
      <c r="A3" t="s">
        <v>77</v>
      </c>
      <c r="B3" t="s">
        <v>78</v>
      </c>
      <c r="C3">
        <v>1.0529999999999999</v>
      </c>
    </row>
    <row r="4" spans="1:5" x14ac:dyDescent="0.3">
      <c r="A4" t="s">
        <v>342</v>
      </c>
      <c r="C4">
        <f>16/2</f>
        <v>8</v>
      </c>
    </row>
    <row r="5" spans="1:5" x14ac:dyDescent="0.3">
      <c r="A5" t="s">
        <v>343</v>
      </c>
      <c r="C5">
        <f>440/71.1</f>
        <v>6.1884669479606194</v>
      </c>
    </row>
    <row r="6" spans="1:5" x14ac:dyDescent="0.3">
      <c r="A6" t="s">
        <v>370</v>
      </c>
      <c r="B6" t="s">
        <v>207</v>
      </c>
      <c r="C6">
        <v>39.6</v>
      </c>
    </row>
    <row r="7" spans="1:5" x14ac:dyDescent="0.3">
      <c r="A7" t="s">
        <v>365</v>
      </c>
      <c r="B7" t="s">
        <v>207</v>
      </c>
      <c r="C7">
        <v>5.2</v>
      </c>
    </row>
    <row r="8" spans="1:5" x14ac:dyDescent="0.3">
      <c r="A8" t="s">
        <v>366</v>
      </c>
      <c r="C8">
        <f>440/654</f>
        <v>0.672782874617737</v>
      </c>
    </row>
  </sheetData>
  <hyperlinks>
    <hyperlink ref="E1" location="Verzeichnis!A1" display="Verzeichnis" xr:uid="{06815D08-33B9-4BEC-AABC-49A97C435823}"/>
  </hyperlinks>
  <pageMargins left="0.7" right="0.7" top="0.78740157499999996" bottom="0.78740157499999996"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69A5E-9248-4677-8D3E-E81C9C2B81FD}">
  <dimension ref="A1:H17"/>
  <sheetViews>
    <sheetView workbookViewId="0">
      <selection activeCell="G20" sqref="G20"/>
    </sheetView>
  </sheetViews>
  <sheetFormatPr baseColWidth="10" defaultRowHeight="14.4" x14ac:dyDescent="0.3"/>
  <cols>
    <col min="1" max="1" width="35.5546875" bestFit="1" customWidth="1"/>
    <col min="2" max="5" width="15.88671875" customWidth="1"/>
    <col min="6" max="6" width="25.5546875" bestFit="1" customWidth="1"/>
    <col min="7" max="7" width="25.88671875" bestFit="1" customWidth="1"/>
    <col min="8" max="8" width="21.88671875" bestFit="1" customWidth="1"/>
  </cols>
  <sheetData>
    <row r="1" spans="1:8" x14ac:dyDescent="0.3">
      <c r="B1" s="8" t="s">
        <v>224</v>
      </c>
      <c r="C1" s="8" t="s">
        <v>315</v>
      </c>
      <c r="D1" s="8" t="s">
        <v>312</v>
      </c>
      <c r="E1" s="8" t="s">
        <v>364</v>
      </c>
      <c r="F1" s="8" t="s">
        <v>318</v>
      </c>
      <c r="G1" s="8" t="s">
        <v>316</v>
      </c>
      <c r="H1" s="8" t="s">
        <v>317</v>
      </c>
    </row>
    <row r="2" spans="1:8" x14ac:dyDescent="0.3">
      <c r="A2" t="s">
        <v>299</v>
      </c>
      <c r="B2">
        <v>0</v>
      </c>
      <c r="C2">
        <v>0</v>
      </c>
      <c r="D2">
        <v>0</v>
      </c>
      <c r="E2">
        <v>0</v>
      </c>
      <c r="F2">
        <v>0</v>
      </c>
      <c r="G2">
        <v>0</v>
      </c>
      <c r="H2">
        <v>0</v>
      </c>
    </row>
    <row r="3" spans="1:8" x14ac:dyDescent="0.3">
      <c r="A3" t="s">
        <v>320</v>
      </c>
      <c r="B3">
        <v>1.3</v>
      </c>
      <c r="C3">
        <v>1.3</v>
      </c>
      <c r="D3">
        <v>1.3</v>
      </c>
      <c r="E3">
        <v>1.3</v>
      </c>
      <c r="F3">
        <v>1.6</v>
      </c>
      <c r="G3">
        <v>1.6</v>
      </c>
      <c r="H3">
        <v>1.6</v>
      </c>
    </row>
    <row r="4" spans="1:8" x14ac:dyDescent="0.3">
      <c r="A4" t="s">
        <v>324</v>
      </c>
      <c r="B4">
        <v>0.7</v>
      </c>
      <c r="C4">
        <v>0.7</v>
      </c>
      <c r="D4">
        <v>0.7</v>
      </c>
      <c r="E4">
        <v>0.7</v>
      </c>
      <c r="F4">
        <v>1</v>
      </c>
      <c r="G4">
        <v>1</v>
      </c>
      <c r="H4">
        <v>1</v>
      </c>
    </row>
    <row r="5" spans="1:8" x14ac:dyDescent="0.3">
      <c r="A5" t="s">
        <v>322</v>
      </c>
      <c r="B5">
        <v>2.1</v>
      </c>
      <c r="C5" t="s">
        <v>225</v>
      </c>
      <c r="D5" t="s">
        <v>225</v>
      </c>
      <c r="E5" t="s">
        <v>225</v>
      </c>
      <c r="F5">
        <v>2.1</v>
      </c>
      <c r="G5">
        <v>2.1</v>
      </c>
      <c r="H5">
        <v>2.1</v>
      </c>
    </row>
    <row r="6" spans="1:8" x14ac:dyDescent="0.3">
      <c r="A6" t="s">
        <v>326</v>
      </c>
      <c r="B6">
        <v>2.8</v>
      </c>
      <c r="C6">
        <v>3.8</v>
      </c>
      <c r="D6">
        <v>3.8</v>
      </c>
      <c r="E6">
        <v>3.8</v>
      </c>
      <c r="F6">
        <v>3.5</v>
      </c>
      <c r="G6">
        <v>3.5</v>
      </c>
      <c r="H6">
        <v>3.5</v>
      </c>
    </row>
    <row r="7" spans="1:8" x14ac:dyDescent="0.3">
      <c r="A7" t="s">
        <v>227</v>
      </c>
      <c r="B7">
        <v>7.7</v>
      </c>
      <c r="C7">
        <v>8.1</v>
      </c>
      <c r="D7">
        <v>8.1</v>
      </c>
      <c r="E7">
        <v>8.1</v>
      </c>
      <c r="F7">
        <v>7.7</v>
      </c>
      <c r="G7">
        <v>7.7</v>
      </c>
      <c r="H7">
        <v>7.7</v>
      </c>
    </row>
    <row r="8" spans="1:8" x14ac:dyDescent="0.3">
      <c r="A8" t="s">
        <v>354</v>
      </c>
      <c r="B8">
        <v>6.1</v>
      </c>
      <c r="C8">
        <v>12.3</v>
      </c>
      <c r="D8">
        <v>12.3</v>
      </c>
      <c r="E8">
        <v>12.3</v>
      </c>
      <c r="F8">
        <v>6.1</v>
      </c>
      <c r="G8">
        <v>6.1</v>
      </c>
      <c r="H8">
        <v>6.1</v>
      </c>
    </row>
    <row r="9" spans="1:8" x14ac:dyDescent="0.3">
      <c r="A9" t="s">
        <v>229</v>
      </c>
      <c r="B9" t="s">
        <v>225</v>
      </c>
      <c r="C9">
        <v>18</v>
      </c>
      <c r="D9">
        <v>18</v>
      </c>
      <c r="E9">
        <v>18</v>
      </c>
      <c r="F9" t="s">
        <v>225</v>
      </c>
      <c r="G9" t="s">
        <v>225</v>
      </c>
      <c r="H9" t="s">
        <v>225</v>
      </c>
    </row>
    <row r="10" spans="1:8" x14ac:dyDescent="0.3">
      <c r="A10" t="s">
        <v>328</v>
      </c>
      <c r="B10" t="s">
        <v>225</v>
      </c>
      <c r="C10">
        <v>20.6</v>
      </c>
      <c r="D10">
        <v>20.6</v>
      </c>
      <c r="E10">
        <v>20.6</v>
      </c>
      <c r="F10" t="s">
        <v>225</v>
      </c>
      <c r="G10" t="s">
        <v>225</v>
      </c>
      <c r="H10" t="s">
        <v>225</v>
      </c>
    </row>
    <row r="11" spans="1:8" x14ac:dyDescent="0.3">
      <c r="A11" t="s">
        <v>371</v>
      </c>
      <c r="B11" t="s">
        <v>225</v>
      </c>
      <c r="C11">
        <v>16.2</v>
      </c>
      <c r="D11">
        <v>16.2</v>
      </c>
      <c r="E11">
        <v>16.2</v>
      </c>
      <c r="F11" t="s">
        <v>225</v>
      </c>
      <c r="G11" t="s">
        <v>225</v>
      </c>
      <c r="H11" t="s">
        <v>225</v>
      </c>
    </row>
    <row r="14" spans="1:8" x14ac:dyDescent="0.3">
      <c r="A14" t="s">
        <v>222</v>
      </c>
    </row>
    <row r="15" spans="1:8" x14ac:dyDescent="0.3">
      <c r="A15" t="s">
        <v>223</v>
      </c>
    </row>
    <row r="17" spans="1:1" x14ac:dyDescent="0.3">
      <c r="A17" s="33" t="s">
        <v>266</v>
      </c>
    </row>
  </sheetData>
  <hyperlinks>
    <hyperlink ref="A17" location="Verzeichnis!A1" display="Verzeichnis" xr:uid="{5EAED997-6F05-4808-BCC1-A26035B07E7D}"/>
  </hyperlinks>
  <pageMargins left="0.7" right="0.7" top="0.78740157499999996" bottom="0.78740157499999996" header="0.3" footer="0.3"/>
  <pageSetup paperSize="9" orientation="portrait" horizontalDpi="360" verticalDpi="360"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0C0A1-2EAB-4D23-899C-FAE3165D72D3}">
  <dimension ref="A1:F10"/>
  <sheetViews>
    <sheetView workbookViewId="0">
      <selection activeCell="A10" sqref="A10"/>
    </sheetView>
  </sheetViews>
  <sheetFormatPr baseColWidth="10" defaultRowHeight="14.4" x14ac:dyDescent="0.3"/>
  <cols>
    <col min="1" max="1" width="14.109375" bestFit="1" customWidth="1"/>
    <col min="2" max="2" width="16.109375" bestFit="1" customWidth="1"/>
    <col min="3" max="3" width="17.5546875" bestFit="1" customWidth="1"/>
    <col min="4" max="4" width="12.5546875" bestFit="1" customWidth="1"/>
  </cols>
  <sheetData>
    <row r="1" spans="1:6" x14ac:dyDescent="0.3">
      <c r="A1" t="s">
        <v>112</v>
      </c>
      <c r="B1" t="s">
        <v>286</v>
      </c>
      <c r="C1" t="s">
        <v>288</v>
      </c>
      <c r="D1" t="s">
        <v>293</v>
      </c>
      <c r="F1" s="33" t="s">
        <v>266</v>
      </c>
    </row>
    <row r="2" spans="1:6" x14ac:dyDescent="0.3">
      <c r="A2" t="s">
        <v>299</v>
      </c>
    </row>
    <row r="3" spans="1:6" x14ac:dyDescent="0.3">
      <c r="A3" t="s">
        <v>113</v>
      </c>
    </row>
    <row r="4" spans="1:6" x14ac:dyDescent="0.3">
      <c r="A4" t="s">
        <v>324</v>
      </c>
    </row>
    <row r="5" spans="1:6" x14ac:dyDescent="0.3">
      <c r="A5" t="s">
        <v>322</v>
      </c>
    </row>
    <row r="6" spans="1:6" x14ac:dyDescent="0.3">
      <c r="A6" t="s">
        <v>114</v>
      </c>
    </row>
    <row r="7" spans="1:6" x14ac:dyDescent="0.3">
      <c r="A7" t="s">
        <v>115</v>
      </c>
    </row>
    <row r="8" spans="1:6" x14ac:dyDescent="0.3">
      <c r="A8" t="s">
        <v>116</v>
      </c>
    </row>
    <row r="9" spans="1:6" x14ac:dyDescent="0.3">
      <c r="A9" t="s">
        <v>117</v>
      </c>
    </row>
    <row r="10" spans="1:6" x14ac:dyDescent="0.3">
      <c r="A10" t="s">
        <v>328</v>
      </c>
    </row>
  </sheetData>
  <hyperlinks>
    <hyperlink ref="F1" location="Verzeichnis!A1" display="Verzeichnis" xr:uid="{56C70B96-D86E-4ED9-8E29-7EFA70874673}"/>
  </hyperlinks>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2106A-0703-491F-B91A-A1CF38DC4F5F}">
  <dimension ref="A1:N27"/>
  <sheetViews>
    <sheetView zoomScale="85" zoomScaleNormal="85" workbookViewId="0">
      <selection activeCell="G4" sqref="G4"/>
    </sheetView>
  </sheetViews>
  <sheetFormatPr baseColWidth="10" defaultRowHeight="14.4" x14ac:dyDescent="0.3"/>
  <cols>
    <col min="1" max="1" width="19.88671875" customWidth="1"/>
    <col min="2" max="2" width="14" customWidth="1"/>
    <col min="3" max="3" width="14.88671875" customWidth="1"/>
    <col min="6" max="6" width="12.5546875" bestFit="1" customWidth="1"/>
    <col min="7" max="7" width="12.88671875" bestFit="1" customWidth="1"/>
    <col min="11" max="11" width="18.44140625" bestFit="1" customWidth="1"/>
    <col min="16" max="16" width="34.5546875" bestFit="1" customWidth="1"/>
  </cols>
  <sheetData>
    <row r="1" spans="1:14" x14ac:dyDescent="0.3">
      <c r="B1" t="s">
        <v>289</v>
      </c>
      <c r="C1" t="s">
        <v>330</v>
      </c>
      <c r="D1" t="s">
        <v>331</v>
      </c>
      <c r="E1" t="s">
        <v>332</v>
      </c>
      <c r="F1" t="s">
        <v>333</v>
      </c>
      <c r="G1" t="s">
        <v>334</v>
      </c>
      <c r="H1" t="s">
        <v>230</v>
      </c>
      <c r="I1" t="s">
        <v>275</v>
      </c>
      <c r="J1" t="s">
        <v>335</v>
      </c>
      <c r="K1" t="s">
        <v>336</v>
      </c>
      <c r="L1" t="s">
        <v>337</v>
      </c>
      <c r="M1" t="s">
        <v>226</v>
      </c>
    </row>
    <row r="2" spans="1:14" x14ac:dyDescent="0.3">
      <c r="A2" t="s">
        <v>300</v>
      </c>
      <c r="B2" s="32">
        <f>0.186+0.093</f>
        <v>0.27900000000000003</v>
      </c>
      <c r="C2" s="32">
        <v>0.11899999999999999</v>
      </c>
      <c r="D2" s="32">
        <v>0.153</v>
      </c>
      <c r="E2" s="32">
        <v>8.0000000000000002E-3</v>
      </c>
      <c r="F2" s="32">
        <f>0.201*0.8</f>
        <v>0.16080000000000003</v>
      </c>
      <c r="G2" s="32">
        <f>0.201*0.2</f>
        <v>4.0200000000000007E-2</v>
      </c>
      <c r="H2" s="32">
        <v>8.7999999999999995E-2</v>
      </c>
      <c r="I2" s="32">
        <v>3.3000000000000002E-2</v>
      </c>
      <c r="J2" s="32">
        <v>7.4999999999999997E-2</v>
      </c>
      <c r="K2" s="32">
        <v>0.02</v>
      </c>
      <c r="L2" s="32">
        <f>1-SUM(B2:K2)</f>
        <v>2.399999999999991E-2</v>
      </c>
      <c r="M2" s="32">
        <v>1</v>
      </c>
      <c r="N2" s="5" t="s">
        <v>12</v>
      </c>
    </row>
    <row r="3" spans="1:14" x14ac:dyDescent="0.3">
      <c r="A3" t="s">
        <v>301</v>
      </c>
      <c r="B3" s="32">
        <f>(4.9+11.4)/671.7</f>
        <v>2.4266785767455709E-2</v>
      </c>
      <c r="C3" s="32">
        <v>0</v>
      </c>
      <c r="D3" s="32">
        <f>137.4/671.4</f>
        <v>0.20464700625558535</v>
      </c>
      <c r="E3" s="32">
        <v>0</v>
      </c>
      <c r="F3" s="32">
        <f>216.3/671.7</f>
        <v>0.32201875837427424</v>
      </c>
      <c r="G3" s="32">
        <f>93.1/671.7</f>
        <v>0.13860354324847401</v>
      </c>
      <c r="H3" s="32">
        <f>122.9/671.7</f>
        <v>0.18296858716688999</v>
      </c>
      <c r="I3" s="32">
        <f>16.5/671.7</f>
        <v>2.4564537740062526E-2</v>
      </c>
      <c r="J3" s="32">
        <f>24/671.7</f>
        <v>3.573023671281822E-2</v>
      </c>
      <c r="K3" s="32">
        <v>0.01</v>
      </c>
      <c r="L3" s="32">
        <f t="shared" ref="L3:L23" si="0">1-SUM(B3:K3)</f>
        <v>5.7200544734439918E-2</v>
      </c>
      <c r="M3" s="32">
        <v>1</v>
      </c>
      <c r="N3" s="5"/>
    </row>
    <row r="4" spans="1:14" x14ac:dyDescent="0.3">
      <c r="A4" t="s">
        <v>346</v>
      </c>
      <c r="B4" s="32">
        <v>0</v>
      </c>
      <c r="C4" s="32">
        <v>0</v>
      </c>
      <c r="D4" s="32">
        <v>5.0000000000000001E-3</v>
      </c>
      <c r="E4" s="32">
        <v>0</v>
      </c>
      <c r="F4" s="32">
        <v>7.2999999999999995E-2</v>
      </c>
      <c r="G4" s="32">
        <v>0</v>
      </c>
      <c r="H4" s="32">
        <v>0</v>
      </c>
      <c r="I4" s="32">
        <v>0.91800000000000004</v>
      </c>
      <c r="J4" s="32">
        <v>0</v>
      </c>
      <c r="K4" s="32">
        <v>4.0000000000000001E-3</v>
      </c>
      <c r="L4" s="32">
        <f t="shared" si="0"/>
        <v>0</v>
      </c>
      <c r="M4" s="32">
        <v>1</v>
      </c>
      <c r="N4" s="4" t="s">
        <v>26</v>
      </c>
    </row>
    <row r="5" spans="1:14" x14ac:dyDescent="0.3">
      <c r="A5" t="s">
        <v>321</v>
      </c>
      <c r="B5" s="32">
        <v>0</v>
      </c>
      <c r="C5" s="32">
        <v>0</v>
      </c>
      <c r="D5" s="32">
        <v>5.0000000000000001E-3</v>
      </c>
      <c r="E5" s="32">
        <v>0</v>
      </c>
      <c r="F5" s="32">
        <v>7.2999999999999995E-2</v>
      </c>
      <c r="G5" s="32">
        <v>0</v>
      </c>
      <c r="H5" s="32">
        <v>0</v>
      </c>
      <c r="I5" s="32">
        <v>0.91800000000000004</v>
      </c>
      <c r="J5" s="32">
        <v>0</v>
      </c>
      <c r="K5" s="32">
        <v>4.0000000000000001E-3</v>
      </c>
      <c r="L5" s="32">
        <f t="shared" si="0"/>
        <v>0</v>
      </c>
      <c r="M5" s="32">
        <v>1</v>
      </c>
      <c r="N5" s="4"/>
    </row>
    <row r="6" spans="1:14" x14ac:dyDescent="0.3">
      <c r="A6" t="s">
        <v>347</v>
      </c>
      <c r="B6" s="32">
        <v>1.9E-2</v>
      </c>
      <c r="C6" s="32">
        <v>0.192</v>
      </c>
      <c r="D6" s="32">
        <v>0.39100000000000001</v>
      </c>
      <c r="E6" s="32">
        <v>0</v>
      </c>
      <c r="F6" s="32">
        <v>0.127</v>
      </c>
      <c r="G6" s="32">
        <v>0.113</v>
      </c>
      <c r="H6" s="32">
        <v>4.9000000000000002E-2</v>
      </c>
      <c r="I6" s="32">
        <v>1.4999999999999999E-2</v>
      </c>
      <c r="J6" s="32">
        <v>8.6999999999999994E-2</v>
      </c>
      <c r="K6" s="32">
        <v>0</v>
      </c>
      <c r="L6" s="32">
        <f t="shared" si="0"/>
        <v>7.0000000000000062E-3</v>
      </c>
      <c r="M6" s="32">
        <v>1</v>
      </c>
      <c r="N6" s="3" t="s">
        <v>13</v>
      </c>
    </row>
    <row r="7" spans="1:14" x14ac:dyDescent="0.3">
      <c r="A7" t="s">
        <v>325</v>
      </c>
      <c r="B7" s="40">
        <v>0</v>
      </c>
      <c r="C7" s="40">
        <v>0.02</v>
      </c>
      <c r="D7" s="40">
        <v>0.27</v>
      </c>
      <c r="E7" s="40">
        <v>0</v>
      </c>
      <c r="F7" s="40">
        <v>0.18</v>
      </c>
      <c r="G7" s="40">
        <v>0.313</v>
      </c>
      <c r="H7" s="40">
        <v>0.1</v>
      </c>
      <c r="I7" s="40">
        <v>0.03</v>
      </c>
      <c r="J7" s="40">
        <v>8.6999999999999994E-2</v>
      </c>
      <c r="K7" s="40">
        <v>0</v>
      </c>
      <c r="L7" s="40">
        <f t="shared" si="0"/>
        <v>0</v>
      </c>
      <c r="M7" s="32">
        <v>1</v>
      </c>
      <c r="N7" s="3"/>
    </row>
    <row r="8" spans="1:14" x14ac:dyDescent="0.3">
      <c r="A8" t="s">
        <v>348</v>
      </c>
      <c r="B8" s="32">
        <v>2.1000000000000001E-2</v>
      </c>
      <c r="C8" s="32">
        <v>0.22</v>
      </c>
      <c r="D8" s="32">
        <v>0.25</v>
      </c>
      <c r="E8" s="32">
        <v>0</v>
      </c>
      <c r="F8" s="32">
        <v>0.24</v>
      </c>
      <c r="G8" s="32">
        <v>0</v>
      </c>
      <c r="H8" s="32">
        <v>9.9000000000000005E-2</v>
      </c>
      <c r="I8" s="32">
        <v>0.13200000000000001</v>
      </c>
      <c r="J8" s="32">
        <v>1.7000000000000001E-2</v>
      </c>
      <c r="K8" s="32">
        <v>4.0000000000000001E-3</v>
      </c>
      <c r="L8" s="32">
        <f t="shared" si="0"/>
        <v>1.7000000000000015E-2</v>
      </c>
      <c r="M8" s="32">
        <v>1</v>
      </c>
      <c r="N8" s="12" t="s">
        <v>38</v>
      </c>
    </row>
    <row r="9" spans="1:14" x14ac:dyDescent="0.3">
      <c r="A9" t="s">
        <v>323</v>
      </c>
      <c r="B9" s="40">
        <v>0</v>
      </c>
      <c r="C9" s="40">
        <v>0.15</v>
      </c>
      <c r="D9" s="40">
        <v>0.3</v>
      </c>
      <c r="E9" s="40">
        <v>0</v>
      </c>
      <c r="F9" s="40">
        <v>0.2</v>
      </c>
      <c r="G9" s="40">
        <v>0</v>
      </c>
      <c r="H9" s="40">
        <v>0.25</v>
      </c>
      <c r="I9" s="40">
        <v>0.08</v>
      </c>
      <c r="J9" s="40">
        <v>0.02</v>
      </c>
      <c r="K9" s="40">
        <v>0</v>
      </c>
      <c r="L9" s="32">
        <f>1-SUM(B9:K9)</f>
        <v>0</v>
      </c>
      <c r="M9" s="32">
        <v>1</v>
      </c>
      <c r="N9" s="12"/>
    </row>
    <row r="10" spans="1:14" x14ac:dyDescent="0.3">
      <c r="A10" t="s">
        <v>349</v>
      </c>
      <c r="B10" s="32">
        <v>0</v>
      </c>
      <c r="C10" s="32">
        <v>0</v>
      </c>
      <c r="D10" s="32">
        <v>0.9</v>
      </c>
      <c r="E10" s="32">
        <v>0.05</v>
      </c>
      <c r="F10" s="32">
        <v>0</v>
      </c>
      <c r="G10" s="32">
        <v>0</v>
      </c>
      <c r="H10" s="32">
        <v>0.05</v>
      </c>
      <c r="I10" s="32">
        <v>0</v>
      </c>
      <c r="J10" s="32">
        <v>0</v>
      </c>
      <c r="K10" s="32">
        <v>0</v>
      </c>
      <c r="L10" s="32">
        <f t="shared" si="0"/>
        <v>0</v>
      </c>
      <c r="M10" s="32">
        <v>1</v>
      </c>
    </row>
    <row r="11" spans="1:14" x14ac:dyDescent="0.3">
      <c r="A11" t="s">
        <v>327</v>
      </c>
      <c r="B11" s="40">
        <v>0</v>
      </c>
      <c r="C11" s="40">
        <v>0</v>
      </c>
      <c r="D11" s="40">
        <v>0.84</v>
      </c>
      <c r="E11" s="40">
        <v>0.01</v>
      </c>
      <c r="F11" s="40">
        <v>0</v>
      </c>
      <c r="G11" s="40">
        <v>0</v>
      </c>
      <c r="H11" s="40">
        <v>0.15</v>
      </c>
      <c r="I11" s="40">
        <v>0</v>
      </c>
      <c r="J11" s="40">
        <v>0</v>
      </c>
      <c r="K11" s="40">
        <v>0</v>
      </c>
      <c r="L11" s="32">
        <f t="shared" si="0"/>
        <v>0</v>
      </c>
      <c r="M11" s="32">
        <v>1</v>
      </c>
    </row>
    <row r="12" spans="1:14" x14ac:dyDescent="0.3">
      <c r="A12" t="s">
        <v>350</v>
      </c>
      <c r="B12" s="32">
        <v>0</v>
      </c>
      <c r="C12" s="32">
        <v>0</v>
      </c>
      <c r="D12" s="32">
        <v>0.47499999999999998</v>
      </c>
      <c r="E12" s="32">
        <v>0.187</v>
      </c>
      <c r="F12" s="32">
        <v>0</v>
      </c>
      <c r="G12" s="32">
        <v>0</v>
      </c>
      <c r="H12" s="32">
        <v>0</v>
      </c>
      <c r="I12" s="32">
        <v>0.33800000000000002</v>
      </c>
      <c r="J12" s="32">
        <v>0</v>
      </c>
      <c r="K12" s="32">
        <v>0</v>
      </c>
      <c r="L12" s="32">
        <f t="shared" si="0"/>
        <v>0</v>
      </c>
      <c r="M12" s="32">
        <v>1</v>
      </c>
    </row>
    <row r="13" spans="1:14" x14ac:dyDescent="0.3">
      <c r="A13" t="s">
        <v>228</v>
      </c>
      <c r="B13" s="40">
        <v>0</v>
      </c>
      <c r="C13" s="40">
        <v>0</v>
      </c>
      <c r="D13" s="40">
        <v>0.53600000000000003</v>
      </c>
      <c r="E13" s="40">
        <v>0.15</v>
      </c>
      <c r="F13" s="40">
        <v>1.6E-2</v>
      </c>
      <c r="G13" s="40">
        <v>0</v>
      </c>
      <c r="H13" s="40">
        <v>9.0999999999999998E-2</v>
      </c>
      <c r="I13" s="40">
        <v>0.186</v>
      </c>
      <c r="J13" s="40">
        <v>2.1000000000000001E-2</v>
      </c>
      <c r="K13" s="40">
        <v>0</v>
      </c>
      <c r="L13" s="32">
        <f t="shared" si="0"/>
        <v>0</v>
      </c>
      <c r="M13" s="32">
        <v>1</v>
      </c>
    </row>
    <row r="14" spans="1:14" x14ac:dyDescent="0.3">
      <c r="A14" t="s">
        <v>355</v>
      </c>
      <c r="B14" s="32">
        <v>0</v>
      </c>
      <c r="C14" s="32">
        <v>0</v>
      </c>
      <c r="D14" s="32">
        <v>0.9</v>
      </c>
      <c r="E14" s="32">
        <v>0</v>
      </c>
      <c r="F14" s="32">
        <v>0</v>
      </c>
      <c r="G14" s="32">
        <v>0</v>
      </c>
      <c r="H14" s="32">
        <v>0.1</v>
      </c>
      <c r="I14" s="32">
        <v>0</v>
      </c>
      <c r="J14" s="32">
        <v>0</v>
      </c>
      <c r="K14" s="32">
        <v>0</v>
      </c>
      <c r="L14" s="32">
        <f t="shared" si="0"/>
        <v>0</v>
      </c>
      <c r="M14" s="32">
        <v>1</v>
      </c>
    </row>
    <row r="15" spans="1:14" x14ac:dyDescent="0.3">
      <c r="A15" t="s">
        <v>356</v>
      </c>
      <c r="B15" s="32">
        <v>0</v>
      </c>
      <c r="C15" s="32">
        <v>0</v>
      </c>
      <c r="D15" s="32">
        <v>0.8</v>
      </c>
      <c r="E15" s="32">
        <v>0</v>
      </c>
      <c r="F15" s="32">
        <v>0</v>
      </c>
      <c r="G15" s="32">
        <v>0</v>
      </c>
      <c r="H15" s="32">
        <v>0.2</v>
      </c>
      <c r="I15" s="32">
        <v>0</v>
      </c>
      <c r="J15" s="32">
        <v>0</v>
      </c>
      <c r="K15" s="32">
        <v>0</v>
      </c>
      <c r="L15" s="32">
        <f t="shared" si="0"/>
        <v>0</v>
      </c>
      <c r="M15" s="32">
        <v>1</v>
      </c>
    </row>
    <row r="16" spans="1:14" x14ac:dyDescent="0.3">
      <c r="A16" t="s">
        <v>351</v>
      </c>
      <c r="B16" s="32">
        <v>0.17</v>
      </c>
      <c r="C16" s="32">
        <v>0</v>
      </c>
      <c r="D16" s="32">
        <v>0.56999999999999995</v>
      </c>
      <c r="E16" s="32">
        <v>1E-3</v>
      </c>
      <c r="F16" s="32">
        <v>0.09</v>
      </c>
      <c r="G16" s="32">
        <v>0</v>
      </c>
      <c r="H16" s="32">
        <v>0</v>
      </c>
      <c r="I16" s="32">
        <v>0.04</v>
      </c>
      <c r="J16" s="32">
        <v>0</v>
      </c>
      <c r="K16" s="32">
        <v>0</v>
      </c>
      <c r="L16" s="32">
        <f>1-SUM(B16:K16)</f>
        <v>0.129</v>
      </c>
      <c r="M16" s="32">
        <v>1</v>
      </c>
    </row>
    <row r="17" spans="1:13" x14ac:dyDescent="0.3">
      <c r="A17" t="s">
        <v>357</v>
      </c>
      <c r="B17" s="32">
        <v>0.1</v>
      </c>
      <c r="C17" s="32">
        <v>0</v>
      </c>
      <c r="D17" s="32">
        <v>0.4</v>
      </c>
      <c r="E17" s="32">
        <v>0</v>
      </c>
      <c r="F17" s="32">
        <v>0.15</v>
      </c>
      <c r="G17" s="32">
        <v>0.1</v>
      </c>
      <c r="H17" s="32">
        <v>0.05</v>
      </c>
      <c r="I17" s="32">
        <v>0.1</v>
      </c>
      <c r="J17" s="32">
        <v>0</v>
      </c>
      <c r="K17" s="32">
        <v>0</v>
      </c>
      <c r="L17" s="32">
        <f t="shared" si="0"/>
        <v>9.9999999999999978E-2</v>
      </c>
      <c r="M17" s="32">
        <v>1</v>
      </c>
    </row>
    <row r="18" spans="1:13" x14ac:dyDescent="0.3">
      <c r="A18" t="s">
        <v>352</v>
      </c>
      <c r="B18" s="32">
        <v>0.7</v>
      </c>
      <c r="C18" s="32">
        <v>0</v>
      </c>
      <c r="D18" s="32">
        <v>0</v>
      </c>
      <c r="E18" s="32">
        <v>0</v>
      </c>
      <c r="F18" s="32">
        <v>7.0000000000000007E-2</v>
      </c>
      <c r="G18" s="32">
        <v>0.05</v>
      </c>
      <c r="H18" s="32">
        <v>0.05</v>
      </c>
      <c r="I18" s="32">
        <v>0.11</v>
      </c>
      <c r="J18" s="32">
        <v>0</v>
      </c>
      <c r="K18" s="32">
        <v>0</v>
      </c>
      <c r="L18" s="32">
        <f t="shared" si="0"/>
        <v>1.9999999999999907E-2</v>
      </c>
      <c r="M18" s="32">
        <v>1</v>
      </c>
    </row>
    <row r="19" spans="1:13" x14ac:dyDescent="0.3">
      <c r="A19" t="s">
        <v>329</v>
      </c>
      <c r="B19" s="40">
        <v>0.18</v>
      </c>
      <c r="C19" s="40">
        <v>0</v>
      </c>
      <c r="D19" s="40">
        <v>0</v>
      </c>
      <c r="E19" s="40">
        <v>0</v>
      </c>
      <c r="F19" s="40">
        <v>0.25</v>
      </c>
      <c r="G19" s="40">
        <v>0.15</v>
      </c>
      <c r="H19" s="40">
        <v>0.25</v>
      </c>
      <c r="I19" s="40">
        <v>0.09</v>
      </c>
      <c r="J19" s="40">
        <v>0.08</v>
      </c>
      <c r="K19" s="40">
        <v>0</v>
      </c>
      <c r="L19" s="32">
        <f t="shared" si="0"/>
        <v>0</v>
      </c>
      <c r="M19" s="32">
        <v>1</v>
      </c>
    </row>
    <row r="20" spans="1:13" x14ac:dyDescent="0.3">
      <c r="A20" t="s">
        <v>372</v>
      </c>
      <c r="B20" s="47">
        <v>0</v>
      </c>
      <c r="C20" s="47">
        <v>0</v>
      </c>
      <c r="D20" s="47">
        <v>0.9</v>
      </c>
      <c r="E20" s="47">
        <v>0.05</v>
      </c>
      <c r="F20" s="47">
        <v>0</v>
      </c>
      <c r="G20" s="47">
        <v>0</v>
      </c>
      <c r="H20" s="47">
        <v>0.05</v>
      </c>
      <c r="I20" s="47">
        <v>0</v>
      </c>
      <c r="J20" s="47">
        <v>0</v>
      </c>
      <c r="K20" s="47">
        <v>0</v>
      </c>
      <c r="L20" s="47">
        <f t="shared" ref="L20:L21" si="1">1-SUM(B20:K20)</f>
        <v>0</v>
      </c>
      <c r="M20" s="47">
        <v>1</v>
      </c>
    </row>
    <row r="21" spans="1:13" x14ac:dyDescent="0.3">
      <c r="A21" t="s">
        <v>373</v>
      </c>
      <c r="B21" s="47">
        <v>0</v>
      </c>
      <c r="C21" s="47">
        <v>0</v>
      </c>
      <c r="D21" s="47">
        <v>0.84</v>
      </c>
      <c r="E21" s="47">
        <v>0.01</v>
      </c>
      <c r="F21" s="47">
        <v>0</v>
      </c>
      <c r="G21" s="47">
        <v>0</v>
      </c>
      <c r="H21" s="47">
        <v>0.15</v>
      </c>
      <c r="I21" s="47">
        <v>0</v>
      </c>
      <c r="J21" s="47">
        <v>0</v>
      </c>
      <c r="K21" s="47">
        <v>0</v>
      </c>
      <c r="L21" s="47">
        <f t="shared" si="1"/>
        <v>0</v>
      </c>
      <c r="M21" s="47">
        <v>1</v>
      </c>
    </row>
    <row r="22" spans="1:13" x14ac:dyDescent="0.3">
      <c r="A22" t="s">
        <v>344</v>
      </c>
      <c r="B22" s="32">
        <v>0</v>
      </c>
      <c r="C22" s="32">
        <v>0</v>
      </c>
      <c r="D22" s="32">
        <v>0</v>
      </c>
      <c r="E22" s="32">
        <v>0</v>
      </c>
      <c r="F22" s="32">
        <v>0</v>
      </c>
      <c r="G22" s="32">
        <v>0</v>
      </c>
      <c r="H22" s="32">
        <v>1</v>
      </c>
      <c r="I22" s="32">
        <v>0</v>
      </c>
      <c r="J22" s="32">
        <v>0</v>
      </c>
      <c r="K22" s="32">
        <v>0</v>
      </c>
      <c r="L22" s="32">
        <f t="shared" si="0"/>
        <v>0</v>
      </c>
      <c r="M22" s="32">
        <v>1</v>
      </c>
    </row>
    <row r="23" spans="1:13" x14ac:dyDescent="0.3">
      <c r="A23" t="s">
        <v>345</v>
      </c>
      <c r="B23" s="32">
        <v>0</v>
      </c>
      <c r="C23" s="32">
        <v>0</v>
      </c>
      <c r="D23" s="32">
        <v>0</v>
      </c>
      <c r="E23" s="32">
        <v>0</v>
      </c>
      <c r="F23" s="32">
        <v>0.5</v>
      </c>
      <c r="G23" s="32">
        <v>0.5</v>
      </c>
      <c r="H23" s="32">
        <v>0</v>
      </c>
      <c r="I23" s="32">
        <v>0</v>
      </c>
      <c r="J23" s="32">
        <v>0</v>
      </c>
      <c r="K23" s="32">
        <v>0</v>
      </c>
      <c r="L23" s="32">
        <f t="shared" si="0"/>
        <v>0</v>
      </c>
      <c r="M23" s="32">
        <v>1</v>
      </c>
    </row>
    <row r="27" spans="1:13" x14ac:dyDescent="0.3">
      <c r="A27" s="33" t="s">
        <v>266</v>
      </c>
    </row>
  </sheetData>
  <hyperlinks>
    <hyperlink ref="A27" location="Verzeichnis!A1" display="Verzeichnis" xr:uid="{04BFFFF9-8C63-498A-99FE-A848CE803F85}"/>
  </hyperlinks>
  <pageMargins left="0.7" right="0.7" top="0.78740157499999996" bottom="0.78740157499999996"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460C5-DDC4-4BC9-80E2-C9D92CABBF27}">
  <dimension ref="A1:L11"/>
  <sheetViews>
    <sheetView workbookViewId="0">
      <selection activeCell="E26" sqref="E26"/>
    </sheetView>
  </sheetViews>
  <sheetFormatPr baseColWidth="10" defaultRowHeight="14.4" x14ac:dyDescent="0.3"/>
  <sheetData>
    <row r="1" spans="1:12" x14ac:dyDescent="0.3">
      <c r="B1" t="s">
        <v>289</v>
      </c>
      <c r="C1" t="s">
        <v>330</v>
      </c>
      <c r="D1" t="s">
        <v>331</v>
      </c>
      <c r="E1" t="s">
        <v>332</v>
      </c>
      <c r="F1" t="s">
        <v>333</v>
      </c>
      <c r="G1" t="s">
        <v>334</v>
      </c>
      <c r="H1" t="s">
        <v>230</v>
      </c>
      <c r="I1" t="s">
        <v>275</v>
      </c>
      <c r="J1" t="s">
        <v>335</v>
      </c>
      <c r="K1" t="s">
        <v>336</v>
      </c>
      <c r="L1" t="s">
        <v>337</v>
      </c>
    </row>
    <row r="2" spans="1:12" x14ac:dyDescent="0.3">
      <c r="A2" t="s">
        <v>299</v>
      </c>
      <c r="B2">
        <f>(1.227+1.123)/2</f>
        <v>1.175</v>
      </c>
      <c r="C2">
        <v>1.2999999999999999E-2</v>
      </c>
      <c r="D2" s="5">
        <f>GWP_Strom_ergänzung!$B$4</f>
        <v>0.57369500000000007</v>
      </c>
      <c r="E2">
        <f>0.27/0.32</f>
        <v>0.84375</v>
      </c>
      <c r="F2" s="5">
        <v>1.703E-2</v>
      </c>
      <c r="G2" s="5">
        <v>1.4710000000000001E-2</v>
      </c>
      <c r="H2" s="5">
        <f>GWP_Strom_ergänzung!E4</f>
        <v>9.7324999999999995E-2</v>
      </c>
      <c r="I2">
        <v>4.0000000000000001E-3</v>
      </c>
      <c r="J2">
        <v>0.02</v>
      </c>
      <c r="K2">
        <f>AVERAGE(F2,G2,H2,I2,J2)</f>
        <v>3.0612999999999994E-2</v>
      </c>
      <c r="L2">
        <f>AVERAGE(B2,E2,C2,D2)</f>
        <v>0.65136124999999989</v>
      </c>
    </row>
    <row r="3" spans="1:12" x14ac:dyDescent="0.3">
      <c r="A3" t="s">
        <v>320</v>
      </c>
      <c r="B3">
        <f t="shared" ref="B3:B11" si="0">(1.227+1.123)/2</f>
        <v>1.175</v>
      </c>
      <c r="C3">
        <v>1.2999999999999999E-2</v>
      </c>
      <c r="D3">
        <f>GWP_Strom_ergänzung!$B$4</f>
        <v>0.57369500000000007</v>
      </c>
      <c r="E3">
        <f t="shared" ref="E3:E11" si="1">0.27/0.32</f>
        <v>0.84375</v>
      </c>
      <c r="F3" s="5">
        <f>$F$2*Volllaststunden!$C$3/Volllaststunden!C4</f>
        <v>1.3876296296296296E-2</v>
      </c>
      <c r="G3" s="5">
        <f>$G$2*Volllaststunden!$F$3/Volllaststunden!F4</f>
        <v>1.1528213166144202E-2</v>
      </c>
      <c r="H3" s="5">
        <f>$H$2*Volllaststunden!$I$3/Volllaststunden!I4</f>
        <v>0.19464999999999999</v>
      </c>
      <c r="I3">
        <v>4.0000000000000001E-3</v>
      </c>
      <c r="J3">
        <v>0.02</v>
      </c>
      <c r="K3">
        <f t="shared" ref="K3:K10" si="2">AVERAGE(F3,G3,H3,I3,J3)</f>
        <v>4.8810901892488094E-2</v>
      </c>
      <c r="L3">
        <f t="shared" ref="L3:L10" si="3">AVERAGE(B3,E3,C3,D3)</f>
        <v>0.65136124999999989</v>
      </c>
    </row>
    <row r="4" spans="1:12" x14ac:dyDescent="0.3">
      <c r="A4" t="s">
        <v>324</v>
      </c>
      <c r="B4">
        <f t="shared" si="0"/>
        <v>1.175</v>
      </c>
      <c r="C4">
        <v>1.2999999999999999E-2</v>
      </c>
      <c r="D4">
        <f>GWP_Strom_ergänzung!$B$4</f>
        <v>0.57369500000000007</v>
      </c>
      <c r="E4">
        <f t="shared" si="1"/>
        <v>0.84375</v>
      </c>
      <c r="F4" s="5">
        <f>$F$2*Volllaststunden!$C$3/Volllaststunden!C5</f>
        <v>1.1796599496221662E-2</v>
      </c>
      <c r="G4" s="5">
        <f>$G$2*Volllaststunden!$F$3/Volllaststunden!F5</f>
        <v>1.2610372910415774E-2</v>
      </c>
      <c r="H4" s="5">
        <f>$H$2*Volllaststunden!$I$3/Volllaststunden!I5</f>
        <v>0.12165624999999998</v>
      </c>
      <c r="I4">
        <v>4.0000000000000001E-3</v>
      </c>
      <c r="J4">
        <v>0.02</v>
      </c>
      <c r="K4">
        <f t="shared" si="2"/>
        <v>3.4012644481327479E-2</v>
      </c>
      <c r="L4">
        <f t="shared" si="3"/>
        <v>0.65136124999999989</v>
      </c>
    </row>
    <row r="5" spans="1:12" x14ac:dyDescent="0.3">
      <c r="A5" t="s">
        <v>322</v>
      </c>
      <c r="B5">
        <f t="shared" si="0"/>
        <v>1.175</v>
      </c>
      <c r="C5">
        <v>1.2999999999999999E-2</v>
      </c>
      <c r="D5">
        <f>GWP_Strom_ergänzung!$B$4</f>
        <v>0.57369500000000007</v>
      </c>
      <c r="E5">
        <f t="shared" si="1"/>
        <v>0.84375</v>
      </c>
      <c r="F5" s="5">
        <f>$F$2*Volllaststunden!$C$3/Volllaststunden!C6</f>
        <v>1.3045264623955432E-2</v>
      </c>
      <c r="G5" s="5">
        <f>$G$2*Volllaststunden!$F$3/Volllaststunden!F6</f>
        <v>1.4710000000000001E-2</v>
      </c>
      <c r="H5" s="5">
        <f>$H$2*Volllaststunden!$I$3/Volllaststunden!I6</f>
        <v>5.5550799086757988E-2</v>
      </c>
      <c r="I5">
        <v>4.0000000000000001E-3</v>
      </c>
      <c r="J5">
        <v>0.02</v>
      </c>
      <c r="K5">
        <f t="shared" si="2"/>
        <v>2.1461212742142684E-2</v>
      </c>
      <c r="L5">
        <f t="shared" si="3"/>
        <v>0.65136124999999989</v>
      </c>
    </row>
    <row r="6" spans="1:12" x14ac:dyDescent="0.3">
      <c r="A6" t="s">
        <v>326</v>
      </c>
      <c r="B6">
        <f t="shared" si="0"/>
        <v>1.175</v>
      </c>
      <c r="C6">
        <v>1.2999999999999999E-2</v>
      </c>
      <c r="D6">
        <f>GWP_Strom_ergänzung!$B$4</f>
        <v>0.57369500000000007</v>
      </c>
      <c r="E6">
        <f t="shared" si="1"/>
        <v>0.84375</v>
      </c>
      <c r="F6" s="5">
        <f>$F$2*Volllaststunden!$C$3/Volllaststunden!C7</f>
        <v>1.8733E-2</v>
      </c>
      <c r="G6" s="5">
        <f>$G$2*Volllaststunden!$F$3/Volllaststunden!F7</f>
        <v>1.9613333333333333E-2</v>
      </c>
      <c r="H6" s="5">
        <f>$H$2*Volllaststunden!$I$3/Volllaststunden!I7</f>
        <v>5.7249999999999995E-2</v>
      </c>
      <c r="I6">
        <v>4.0000000000000001E-3</v>
      </c>
      <c r="J6">
        <v>0.02</v>
      </c>
      <c r="K6">
        <f t="shared" si="2"/>
        <v>2.3919266666666668E-2</v>
      </c>
      <c r="L6">
        <f t="shared" si="3"/>
        <v>0.65136124999999989</v>
      </c>
    </row>
    <row r="7" spans="1:12" x14ac:dyDescent="0.3">
      <c r="A7" t="s">
        <v>227</v>
      </c>
      <c r="B7">
        <f t="shared" si="0"/>
        <v>1.175</v>
      </c>
      <c r="C7">
        <v>1.2999999999999999E-2</v>
      </c>
      <c r="D7">
        <f>GWP_Strom_ergänzung!$B$4</f>
        <v>0.57369500000000007</v>
      </c>
      <c r="E7">
        <f t="shared" si="1"/>
        <v>0.84375</v>
      </c>
      <c r="F7" s="5">
        <f>$F$2*Volllaststunden!$C$3/Volllaststunden!C8</f>
        <v>2.1384703196347034E-2</v>
      </c>
      <c r="G7" s="5">
        <f>$G$2*Volllaststunden!$F$3/Volllaststunden!F8</f>
        <v>1.4710000000000001E-2</v>
      </c>
      <c r="H7" s="5">
        <f>$H$2*Volllaststunden!$I$3/Volllaststunden!I8</f>
        <v>5.9272228989037751E-2</v>
      </c>
      <c r="I7">
        <v>4.0000000000000001E-3</v>
      </c>
      <c r="J7">
        <v>0.02</v>
      </c>
      <c r="K7">
        <f t="shared" si="2"/>
        <v>2.3873386437076958E-2</v>
      </c>
      <c r="L7">
        <f t="shared" si="3"/>
        <v>0.65136124999999989</v>
      </c>
    </row>
    <row r="8" spans="1:12" x14ac:dyDescent="0.3">
      <c r="A8" t="s">
        <v>354</v>
      </c>
      <c r="B8">
        <f t="shared" si="0"/>
        <v>1.175</v>
      </c>
      <c r="C8">
        <v>1.2999999999999999E-2</v>
      </c>
      <c r="D8">
        <f>GWP_Strom_ergänzung!$B$4</f>
        <v>0.57369500000000007</v>
      </c>
      <c r="E8">
        <f t="shared" si="1"/>
        <v>0.84375</v>
      </c>
      <c r="F8" s="5">
        <f>$F$2*Volllaststunden!$C$3/Volllaststunden!C9</f>
        <v>2.6365939479239972E-2</v>
      </c>
      <c r="G8" s="5">
        <f>$G$2*Volllaststunden!$F$3/Volllaststunden!F9</f>
        <v>2.3536000000000001E-2</v>
      </c>
      <c r="H8" s="5">
        <f>$H$2*Volllaststunden!$I$3/Volllaststunden!I9</f>
        <v>4.1152219873150098E-2</v>
      </c>
      <c r="I8">
        <v>4.0000000000000001E-3</v>
      </c>
      <c r="J8">
        <v>0.02</v>
      </c>
      <c r="K8">
        <f t="shared" si="2"/>
        <v>2.3010831870478015E-2</v>
      </c>
      <c r="L8">
        <f t="shared" si="3"/>
        <v>0.65136124999999989</v>
      </c>
    </row>
    <row r="9" spans="1:12" x14ac:dyDescent="0.3">
      <c r="A9" t="s">
        <v>229</v>
      </c>
      <c r="B9">
        <f t="shared" si="0"/>
        <v>1.175</v>
      </c>
      <c r="C9">
        <v>1.2999999999999999E-2</v>
      </c>
      <c r="D9">
        <f>GWP_Strom_ergänzung!$B$4</f>
        <v>0.57369500000000007</v>
      </c>
      <c r="E9">
        <f t="shared" si="1"/>
        <v>0.84375</v>
      </c>
      <c r="F9" s="5">
        <f>$F$2*Volllaststunden!$C$3/Volllaststunden!C10</f>
        <v>1.8733E-2</v>
      </c>
      <c r="G9" s="5">
        <f>$G$2*Volllaststunden!$F$3/Volllaststunden!F10</f>
        <v>1.4710000000000001E-2</v>
      </c>
      <c r="H9" s="5">
        <f>$H$2*Volllaststunden!$I$3/Volllaststunden!I10</f>
        <v>4.8662499999999997E-2</v>
      </c>
      <c r="I9">
        <v>4.0000000000000001E-3</v>
      </c>
      <c r="J9">
        <v>0.02</v>
      </c>
      <c r="K9">
        <f t="shared" si="2"/>
        <v>2.12211E-2</v>
      </c>
      <c r="L9">
        <f t="shared" si="3"/>
        <v>0.65136124999999989</v>
      </c>
    </row>
    <row r="10" spans="1:12" x14ac:dyDescent="0.3">
      <c r="A10" t="s">
        <v>328</v>
      </c>
      <c r="B10">
        <f t="shared" si="0"/>
        <v>1.175</v>
      </c>
      <c r="C10">
        <v>1.2999999999999999E-2</v>
      </c>
      <c r="D10">
        <f>GWP_Strom_ergänzung!$B$4</f>
        <v>0.57369500000000007</v>
      </c>
      <c r="E10">
        <f t="shared" si="1"/>
        <v>0.84375</v>
      </c>
      <c r="F10" s="5">
        <f>$F$2*Volllaststunden!$C$3/Volllaststunden!C11</f>
        <v>1.8733E-2</v>
      </c>
      <c r="G10" s="5">
        <f>$G$2*Volllaststunden!$F$3/Volllaststunden!F11</f>
        <v>1.4710000000000001E-2</v>
      </c>
      <c r="H10" s="5">
        <f>$H$2*Volllaststunden!$I$3/Volllaststunden!I11</f>
        <v>4.1152219873150098E-2</v>
      </c>
      <c r="I10">
        <v>4.0000000000000001E-3</v>
      </c>
      <c r="J10">
        <v>0.02</v>
      </c>
      <c r="K10">
        <f t="shared" si="2"/>
        <v>1.9719043974630021E-2</v>
      </c>
      <c r="L10">
        <f t="shared" si="3"/>
        <v>0.65136124999999989</v>
      </c>
    </row>
    <row r="11" spans="1:12" x14ac:dyDescent="0.3">
      <c r="A11" t="s">
        <v>371</v>
      </c>
      <c r="B11">
        <f t="shared" si="0"/>
        <v>1.175</v>
      </c>
      <c r="C11">
        <v>1.2999999999999999E-2</v>
      </c>
      <c r="D11">
        <f>GWP_Strom_ergänzung!$B$4</f>
        <v>0.57369500000000007</v>
      </c>
      <c r="E11">
        <f t="shared" si="1"/>
        <v>0.84375</v>
      </c>
      <c r="F11" s="5">
        <f>$F$2*Volllaststunden!$C$3/Volllaststunden!C12</f>
        <v>1.4256468797564689E-2</v>
      </c>
      <c r="G11" s="5">
        <f>$G$2*Volllaststunden!$F$3/Volllaststunden!F12</f>
        <v>9.6855967078189314E-3</v>
      </c>
      <c r="H11" s="5">
        <f>$H$2*Volllaststunden!$I$3/Volllaststunden!I12</f>
        <v>3.9679142204827128E-2</v>
      </c>
      <c r="I11">
        <v>4.0000000000000001E-3</v>
      </c>
      <c r="J11">
        <v>0.02</v>
      </c>
      <c r="K11">
        <f>AVERAGE(F11,G11,H11,I11,J11)</f>
        <v>1.752424154204215E-2</v>
      </c>
      <c r="L11">
        <f t="shared" ref="L11" si="4">AVERAGE(B11,E11,C11,D11)</f>
        <v>0.65136124999999989</v>
      </c>
    </row>
  </sheetData>
  <pageMargins left="0.7" right="0.7" top="0.78740157499999996" bottom="0.78740157499999996" header="0.3" footer="0.3"/>
  <drawing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26D7D-30CA-4A6F-ABBD-9FE2A5380CB9}">
  <dimension ref="A1:E4"/>
  <sheetViews>
    <sheetView workbookViewId="0">
      <selection activeCell="E21" sqref="E21"/>
    </sheetView>
  </sheetViews>
  <sheetFormatPr baseColWidth="10" defaultRowHeight="14.4" x14ac:dyDescent="0.3"/>
  <sheetData>
    <row r="1" spans="1:5" x14ac:dyDescent="0.3">
      <c r="A1" t="s">
        <v>387</v>
      </c>
      <c r="D1" t="s">
        <v>389</v>
      </c>
    </row>
    <row r="2" spans="1:5" x14ac:dyDescent="0.3">
      <c r="A2" t="s">
        <v>384</v>
      </c>
      <c r="B2">
        <v>0.42910999999999999</v>
      </c>
      <c r="D2" t="s">
        <v>385</v>
      </c>
      <c r="E2">
        <v>9.8409999999999997E-2</v>
      </c>
    </row>
    <row r="3" spans="1:5" x14ac:dyDescent="0.3">
      <c r="B3">
        <v>0.71828000000000003</v>
      </c>
      <c r="D3" t="s">
        <v>386</v>
      </c>
      <c r="E3">
        <v>9.6240000000000006E-2</v>
      </c>
    </row>
    <row r="4" spans="1:5" x14ac:dyDescent="0.3">
      <c r="A4" s="8" t="s">
        <v>388</v>
      </c>
      <c r="B4" s="8">
        <f>(B3+B2)/2</f>
        <v>0.57369500000000007</v>
      </c>
      <c r="E4" s="8">
        <f>(E3+E2)/2</f>
        <v>9.7324999999999995E-2</v>
      </c>
    </row>
  </sheetData>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19D9-9798-40AF-9E8F-4BC962D49F90}">
  <dimension ref="A1:W18"/>
  <sheetViews>
    <sheetView workbookViewId="0">
      <selection activeCell="D24" sqref="D24"/>
    </sheetView>
  </sheetViews>
  <sheetFormatPr baseColWidth="10" defaultRowHeight="14.4" x14ac:dyDescent="0.3"/>
  <cols>
    <col min="1" max="1" width="14.5546875" bestFit="1" customWidth="1"/>
    <col min="2" max="3" width="14.5546875" customWidth="1"/>
    <col min="4" max="4" width="12.77734375" bestFit="1" customWidth="1"/>
    <col min="5" max="5" width="13.109375" bestFit="1" customWidth="1"/>
    <col min="6" max="7" width="13.109375" customWidth="1"/>
  </cols>
  <sheetData>
    <row r="1" spans="1:23" x14ac:dyDescent="0.3">
      <c r="A1" t="s">
        <v>377</v>
      </c>
      <c r="B1" s="50" t="s">
        <v>333</v>
      </c>
      <c r="C1" s="50"/>
      <c r="D1" s="50"/>
      <c r="E1" s="50" t="s">
        <v>334</v>
      </c>
      <c r="F1" s="50"/>
      <c r="G1" s="50"/>
      <c r="H1" s="50" t="s">
        <v>230</v>
      </c>
      <c r="I1" s="50"/>
      <c r="J1" s="50"/>
      <c r="N1" t="s">
        <v>378</v>
      </c>
      <c r="O1" s="50" t="s">
        <v>333</v>
      </c>
      <c r="P1" s="50"/>
      <c r="Q1" s="50"/>
      <c r="R1" s="50" t="s">
        <v>334</v>
      </c>
      <c r="S1" s="50"/>
      <c r="T1" s="50"/>
      <c r="U1" s="50" t="s">
        <v>230</v>
      </c>
      <c r="V1" s="50"/>
      <c r="W1" s="50"/>
    </row>
    <row r="2" spans="1:23" x14ac:dyDescent="0.3">
      <c r="B2" s="44" t="s">
        <v>374</v>
      </c>
      <c r="C2" s="44" t="s">
        <v>375</v>
      </c>
      <c r="D2" s="44" t="s">
        <v>376</v>
      </c>
      <c r="E2" s="44" t="s">
        <v>374</v>
      </c>
      <c r="F2" s="44" t="s">
        <v>375</v>
      </c>
      <c r="G2" s="44" t="s">
        <v>376</v>
      </c>
      <c r="H2" s="44" t="s">
        <v>374</v>
      </c>
      <c r="I2" s="44" t="s">
        <v>375</v>
      </c>
      <c r="J2" s="44" t="s">
        <v>376</v>
      </c>
      <c r="M2" s="44" t="s">
        <v>214</v>
      </c>
      <c r="N2">
        <v>20</v>
      </c>
      <c r="O2" s="44" t="s">
        <v>379</v>
      </c>
      <c r="P2" s="44" t="s">
        <v>382</v>
      </c>
      <c r="Q2" s="44" t="s">
        <v>383</v>
      </c>
      <c r="R2" s="44" t="s">
        <v>379</v>
      </c>
      <c r="S2" s="44"/>
      <c r="T2" s="44"/>
      <c r="U2" s="44" t="s">
        <v>379</v>
      </c>
      <c r="V2" s="44" t="s">
        <v>380</v>
      </c>
      <c r="W2" s="44" t="s">
        <v>381</v>
      </c>
    </row>
    <row r="3" spans="1:23" x14ac:dyDescent="0.3">
      <c r="A3" t="s">
        <v>299</v>
      </c>
      <c r="B3">
        <v>1800</v>
      </c>
      <c r="C3">
        <v>2200</v>
      </c>
      <c r="D3">
        <v>3200</v>
      </c>
      <c r="E3">
        <v>3200</v>
      </c>
      <c r="F3">
        <v>4000</v>
      </c>
      <c r="G3">
        <v>4500</v>
      </c>
      <c r="I3">
        <v>1000</v>
      </c>
      <c r="O3" s="14">
        <v>1.41282906203734E-8</v>
      </c>
      <c r="P3" s="46">
        <v>1</v>
      </c>
      <c r="Q3">
        <v>1</v>
      </c>
      <c r="R3" s="14">
        <v>9.5000000000000007E-9</v>
      </c>
      <c r="S3" s="46"/>
      <c r="V3" s="46">
        <f>U3*$N$2*1000000</f>
        <v>0</v>
      </c>
      <c r="W3">
        <f>V3*8760</f>
        <v>0</v>
      </c>
    </row>
    <row r="4" spans="1:23" x14ac:dyDescent="0.3">
      <c r="A4" t="s">
        <v>320</v>
      </c>
      <c r="B4" s="5">
        <v>2049</v>
      </c>
      <c r="C4" s="5">
        <v>2700</v>
      </c>
      <c r="D4" s="5">
        <v>2920</v>
      </c>
      <c r="F4" s="5">
        <v>5104</v>
      </c>
      <c r="I4">
        <v>500</v>
      </c>
      <c r="O4" s="14">
        <v>1.14090779257874E-8</v>
      </c>
      <c r="P4" s="46">
        <f>($O$3-O4)/$O$3</f>
        <v>0.192465795590644</v>
      </c>
      <c r="Q4" s="46">
        <f>($C$3-C4)/$C$3</f>
        <v>-0.22727272727272727</v>
      </c>
      <c r="R4" s="14">
        <v>9.5000000000000007E-9</v>
      </c>
    </row>
    <row r="5" spans="1:23" x14ac:dyDescent="0.3">
      <c r="A5" t="s">
        <v>324</v>
      </c>
      <c r="C5" s="5">
        <v>3176</v>
      </c>
      <c r="E5" s="5">
        <v>3000</v>
      </c>
      <c r="F5" s="45">
        <v>4666</v>
      </c>
      <c r="G5" s="5">
        <v>5000</v>
      </c>
      <c r="I5">
        <v>800</v>
      </c>
      <c r="O5" s="14">
        <v>1.08893778470985E-8</v>
      </c>
      <c r="P5" s="46">
        <f t="shared" ref="P5:P6" si="0">($O$3-O5)/$O$3</f>
        <v>0.22925015207461086</v>
      </c>
      <c r="Q5" s="46">
        <f t="shared" ref="Q5:Q6" si="1">($C$3-C5)/$C$3</f>
        <v>-0.44363636363636366</v>
      </c>
      <c r="R5" s="14">
        <v>9.5000000000000007E-9</v>
      </c>
    </row>
    <row r="6" spans="1:23" x14ac:dyDescent="0.3">
      <c r="A6" t="s">
        <v>322</v>
      </c>
      <c r="C6" s="5">
        <v>2872</v>
      </c>
      <c r="F6">
        <v>4000</v>
      </c>
      <c r="H6" s="5">
        <v>1500</v>
      </c>
      <c r="I6" s="5">
        <f>8760*0.2</f>
        <v>1752</v>
      </c>
      <c r="J6" s="5">
        <v>1800</v>
      </c>
      <c r="O6" s="14">
        <v>1.1636007552889801E-8</v>
      </c>
      <c r="P6" s="46">
        <f t="shared" si="0"/>
        <v>0.17640372317155306</v>
      </c>
      <c r="Q6" s="46">
        <f t="shared" si="1"/>
        <v>-0.30545454545454548</v>
      </c>
      <c r="R6" s="14">
        <v>9.5000000000000007E-9</v>
      </c>
    </row>
    <row r="7" spans="1:23" x14ac:dyDescent="0.3">
      <c r="A7" t="s">
        <v>326</v>
      </c>
      <c r="C7" s="5">
        <v>2000</v>
      </c>
      <c r="F7">
        <v>3000</v>
      </c>
      <c r="H7" s="5">
        <v>1500</v>
      </c>
      <c r="I7" s="5">
        <v>1700</v>
      </c>
      <c r="J7" s="5">
        <v>1800</v>
      </c>
    </row>
    <row r="8" spans="1:23" x14ac:dyDescent="0.3">
      <c r="A8" t="s">
        <v>227</v>
      </c>
      <c r="C8" s="5">
        <f>0.2*8760</f>
        <v>1752</v>
      </c>
      <c r="F8">
        <v>4000</v>
      </c>
      <c r="I8" s="5">
        <v>1642</v>
      </c>
    </row>
    <row r="9" spans="1:23" x14ac:dyDescent="0.3">
      <c r="A9" t="s">
        <v>354</v>
      </c>
      <c r="C9" s="5">
        <v>1421</v>
      </c>
      <c r="F9">
        <v>2500</v>
      </c>
      <c r="H9" s="5">
        <v>870</v>
      </c>
      <c r="I9" s="5">
        <v>2365</v>
      </c>
      <c r="J9" s="5">
        <v>2452</v>
      </c>
    </row>
    <row r="10" spans="1:23" x14ac:dyDescent="0.3">
      <c r="A10" t="s">
        <v>229</v>
      </c>
      <c r="C10">
        <v>2000</v>
      </c>
      <c r="F10">
        <v>4000</v>
      </c>
      <c r="I10" s="5">
        <v>2000</v>
      </c>
    </row>
    <row r="11" spans="1:23" x14ac:dyDescent="0.3">
      <c r="A11" t="s">
        <v>328</v>
      </c>
      <c r="C11">
        <v>2000</v>
      </c>
      <c r="F11">
        <v>4000</v>
      </c>
      <c r="H11" s="5">
        <v>2365</v>
      </c>
      <c r="I11" s="5">
        <v>2365</v>
      </c>
      <c r="J11" s="5">
        <v>2452</v>
      </c>
    </row>
    <row r="12" spans="1:23" x14ac:dyDescent="0.3">
      <c r="A12" t="s">
        <v>371</v>
      </c>
      <c r="C12" s="5">
        <f>0.3*8760</f>
        <v>2628</v>
      </c>
      <c r="F12" s="5">
        <v>6075</v>
      </c>
      <c r="H12" s="5">
        <f>0.2*8760</f>
        <v>1752</v>
      </c>
      <c r="I12" s="5">
        <f>0.28*8760</f>
        <v>2452.8000000000002</v>
      </c>
      <c r="J12" s="5">
        <f>0.34*8760</f>
        <v>2978.4</v>
      </c>
    </row>
    <row r="18" spans="2:4" x14ac:dyDescent="0.3">
      <c r="B18" s="14"/>
      <c r="C18" s="14"/>
      <c r="D18" s="46"/>
    </row>
  </sheetData>
  <mergeCells count="6">
    <mergeCell ref="U1:W1"/>
    <mergeCell ref="B1:D1"/>
    <mergeCell ref="E1:G1"/>
    <mergeCell ref="H1:J1"/>
    <mergeCell ref="O1:Q1"/>
    <mergeCell ref="R1:T1"/>
  </mergeCells>
  <pageMargins left="0.7" right="0.7" top="0.78740157499999996" bottom="0.78740157499999996" header="0.3" footer="0.3"/>
  <pageSetup paperSize="9"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2ABB-71F6-436A-AF13-A32952CDB90D}">
  <dimension ref="A1:H13"/>
  <sheetViews>
    <sheetView workbookViewId="0">
      <selection activeCell="H42" sqref="H42"/>
    </sheetView>
  </sheetViews>
  <sheetFormatPr baseColWidth="10" defaultRowHeight="14.4" x14ac:dyDescent="0.3"/>
  <cols>
    <col min="1" max="1" width="14.109375" bestFit="1" customWidth="1"/>
    <col min="2" max="2" width="21.109375" bestFit="1" customWidth="1"/>
    <col min="3" max="3" width="20.44140625" bestFit="1" customWidth="1"/>
    <col min="4" max="4" width="19.88671875" bestFit="1" customWidth="1"/>
    <col min="8" max="8" width="34.5546875" bestFit="1" customWidth="1"/>
  </cols>
  <sheetData>
    <row r="1" spans="1:8" x14ac:dyDescent="0.3">
      <c r="B1" t="s">
        <v>275</v>
      </c>
      <c r="C1" t="s">
        <v>331</v>
      </c>
      <c r="D1" t="s">
        <v>289</v>
      </c>
      <c r="H1" s="5" t="s">
        <v>12</v>
      </c>
    </row>
    <row r="2" spans="1:8" x14ac:dyDescent="0.3">
      <c r="A2" t="s">
        <v>299</v>
      </c>
      <c r="B2">
        <f>'OpenLCA Ergebnisse'!D196</f>
        <v>4.4999999999999999E-4</v>
      </c>
      <c r="C2" s="21">
        <f>'OpenLCA Ergebnisse'!D27/Umrechnungsparameter!C2</f>
        <v>0.61957142857142866</v>
      </c>
      <c r="D2" s="21">
        <f>'OpenLCA Ergebnisse'!D92</f>
        <v>0.38552999999999998</v>
      </c>
      <c r="H2" s="4" t="s">
        <v>26</v>
      </c>
    </row>
    <row r="3" spans="1:8" x14ac:dyDescent="0.3">
      <c r="A3" t="s">
        <v>320</v>
      </c>
      <c r="B3">
        <f>'OpenLCA Ergebnisse'!D196</f>
        <v>4.4999999999999999E-4</v>
      </c>
      <c r="C3" s="21">
        <f>'OpenLCA Ergebnisse'!H202/Umrechnungsparameter!C2</f>
        <v>0.139795838929513</v>
      </c>
      <c r="D3" s="21">
        <f>'OpenLCA Ergebnisse'!I$92</f>
        <v>0.45685999999999999</v>
      </c>
      <c r="H3" s="3" t="s">
        <v>217</v>
      </c>
    </row>
    <row r="4" spans="1:8" x14ac:dyDescent="0.3">
      <c r="A4" t="s">
        <v>324</v>
      </c>
      <c r="B4">
        <f>'OpenLCA Ergebnisse'!D196</f>
        <v>4.4999999999999999E-4</v>
      </c>
      <c r="C4" s="48">
        <f>'OpenLCA Ergebnisse'!I$27/Umrechnungsparameter!C$2</f>
        <v>0.7360714285714286</v>
      </c>
      <c r="D4" s="21">
        <f>'OpenLCA Ergebnisse'!I$92</f>
        <v>0.45685999999999999</v>
      </c>
      <c r="H4" s="12" t="s">
        <v>38</v>
      </c>
    </row>
    <row r="5" spans="1:8" x14ac:dyDescent="0.3">
      <c r="A5" t="s">
        <v>322</v>
      </c>
      <c r="B5">
        <f>'OpenLCA Ergebnisse'!D196</f>
        <v>4.4999999999999999E-4</v>
      </c>
      <c r="C5" s="48">
        <f>'OpenLCA Ergebnisse'!I$27/Umrechnungsparameter!C$2</f>
        <v>0.7360714285714286</v>
      </c>
      <c r="D5" s="21">
        <f>'OpenLCA Ergebnisse'!I$92</f>
        <v>0.45685999999999999</v>
      </c>
    </row>
    <row r="6" spans="1:8" x14ac:dyDescent="0.3">
      <c r="A6" t="s">
        <v>326</v>
      </c>
      <c r="B6">
        <f>'OpenLCA Ergebnisse'!D193</f>
        <v>5.9300000000000004E-3</v>
      </c>
      <c r="C6" s="48">
        <f>'OpenLCA Ergebnisse'!I$27/Umrechnungsparameter!C$2</f>
        <v>0.7360714285714286</v>
      </c>
      <c r="D6" s="21">
        <f>'OpenLCA Ergebnisse'!I$92</f>
        <v>0.45685999999999999</v>
      </c>
    </row>
    <row r="7" spans="1:8" x14ac:dyDescent="0.3">
      <c r="A7" t="s">
        <v>227</v>
      </c>
      <c r="B7">
        <f>'OpenLCA Ergebnisse'!D193</f>
        <v>5.9300000000000004E-3</v>
      </c>
      <c r="C7" s="48">
        <f>'OpenLCA Ergebnisse'!I$27/Umrechnungsparameter!C$2</f>
        <v>0.7360714285714286</v>
      </c>
      <c r="D7" s="21">
        <f>'OpenLCA Ergebnisse'!I$92</f>
        <v>0.45685999999999999</v>
      </c>
      <c r="H7" t="s">
        <v>218</v>
      </c>
    </row>
    <row r="8" spans="1:8" x14ac:dyDescent="0.3">
      <c r="A8" t="s">
        <v>354</v>
      </c>
      <c r="B8">
        <f>'OpenLCA Ergebnisse'!D193</f>
        <v>5.9300000000000004E-3</v>
      </c>
      <c r="C8" s="49">
        <f>'OpenLCA Ergebnisse'!D214/Umrechnungsparameter!C2</f>
        <v>0.49417857142857141</v>
      </c>
      <c r="D8" s="21">
        <f>'OpenLCA Ergebnisse'!I$92</f>
        <v>0.45685999999999999</v>
      </c>
    </row>
    <row r="9" spans="1:8" x14ac:dyDescent="0.3">
      <c r="A9" t="s">
        <v>229</v>
      </c>
      <c r="B9">
        <f>'OpenLCA Ergebnisse'!D193</f>
        <v>5.9300000000000004E-3</v>
      </c>
      <c r="C9" s="48">
        <f>'OpenLCA Ergebnisse'!I$27/Umrechnungsparameter!C$2</f>
        <v>0.7360714285714286</v>
      </c>
      <c r="D9" s="21">
        <f>'OpenLCA Ergebnisse'!I$92</f>
        <v>0.45685999999999999</v>
      </c>
    </row>
    <row r="10" spans="1:8" x14ac:dyDescent="0.3">
      <c r="A10" t="s">
        <v>328</v>
      </c>
      <c r="B10">
        <f>'OpenLCA Ergebnisse'!D193</f>
        <v>5.9300000000000004E-3</v>
      </c>
      <c r="C10" s="48">
        <f>'OpenLCA Ergebnisse'!I$27/Umrechnungsparameter!C$2</f>
        <v>0.7360714285714286</v>
      </c>
      <c r="D10" s="21">
        <f>'OpenLCA Ergebnisse'!I$92</f>
        <v>0.45685999999999999</v>
      </c>
    </row>
    <row r="11" spans="1:8" x14ac:dyDescent="0.3">
      <c r="A11" t="s">
        <v>371</v>
      </c>
      <c r="B11" s="14">
        <f>'OpenLCA Ergebnisse'!D199</f>
        <v>1.71673E-7</v>
      </c>
      <c r="C11">
        <f>'OpenLCA Ergebnisse'!I$27/Umrechnungsparameter!C$2</f>
        <v>0.7360714285714286</v>
      </c>
      <c r="D11">
        <f>'OpenLCA Ergebnisse'!I$92</f>
        <v>0.45685999999999999</v>
      </c>
    </row>
    <row r="13" spans="1:8" x14ac:dyDescent="0.3">
      <c r="A13" s="33" t="s">
        <v>266</v>
      </c>
    </row>
  </sheetData>
  <hyperlinks>
    <hyperlink ref="A13" location="Verzeichnis!A1" display="Verzeichnis" xr:uid="{3CC02216-00D4-475C-B66D-3EE6FB549328}"/>
  </hyperlinks>
  <pageMargins left="0.7" right="0.7" top="0.78740157499999996" bottom="0.78740157499999996"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1662-791F-49FC-9302-2473FD3B9BB2}">
  <dimension ref="A1:L17"/>
  <sheetViews>
    <sheetView workbookViewId="0">
      <selection activeCell="C27" sqref="C27"/>
    </sheetView>
  </sheetViews>
  <sheetFormatPr baseColWidth="10" defaultRowHeight="14.4" x14ac:dyDescent="0.3"/>
  <cols>
    <col min="1" max="1" width="21.109375" bestFit="1" customWidth="1"/>
    <col min="2" max="2" width="24.88671875" bestFit="1" customWidth="1"/>
    <col min="3" max="3" width="27.5546875" bestFit="1" customWidth="1"/>
    <col min="4" max="4" width="18.5546875" bestFit="1" customWidth="1"/>
    <col min="5" max="5" width="23.44140625" bestFit="1" customWidth="1"/>
    <col min="6" max="6" width="20.109375" bestFit="1" customWidth="1"/>
    <col min="7" max="7" width="16.109375" bestFit="1" customWidth="1"/>
    <col min="8" max="8" width="13.44140625" bestFit="1" customWidth="1"/>
    <col min="9" max="9" width="17.109375" bestFit="1" customWidth="1"/>
    <col min="10" max="10" width="21.109375" bestFit="1" customWidth="1"/>
    <col min="12" max="12" width="34.5546875" bestFit="1" customWidth="1"/>
  </cols>
  <sheetData>
    <row r="1" spans="1:12" x14ac:dyDescent="0.3">
      <c r="B1" t="s">
        <v>205</v>
      </c>
      <c r="C1" t="s">
        <v>210</v>
      </c>
      <c r="D1" t="s">
        <v>214</v>
      </c>
      <c r="E1" t="s">
        <v>215</v>
      </c>
      <c r="F1" t="s">
        <v>206</v>
      </c>
      <c r="G1" t="s">
        <v>216</v>
      </c>
      <c r="H1" t="s">
        <v>208</v>
      </c>
      <c r="I1" t="s">
        <v>212</v>
      </c>
      <c r="J1" t="s">
        <v>213</v>
      </c>
    </row>
    <row r="2" spans="1:12" x14ac:dyDescent="0.3">
      <c r="A2" t="s">
        <v>88</v>
      </c>
      <c r="B2" s="24">
        <f>D2*E2*F2</f>
        <v>392424.24242424237</v>
      </c>
      <c r="C2" s="24">
        <f>E2*F2</f>
        <v>56060.606060606056</v>
      </c>
      <c r="D2" s="25">
        <v>7</v>
      </c>
      <c r="E2" s="26">
        <v>3000</v>
      </c>
      <c r="F2" s="24">
        <f>H2*1000*G2/Umrechnungsparameter!$C$6</f>
        <v>18.686868686868685</v>
      </c>
      <c r="G2" s="23">
        <v>0.74</v>
      </c>
      <c r="H2">
        <v>1</v>
      </c>
      <c r="I2" s="3"/>
      <c r="J2" s="3"/>
      <c r="L2" s="5" t="s">
        <v>12</v>
      </c>
    </row>
    <row r="3" spans="1:12" x14ac:dyDescent="0.3">
      <c r="A3" t="s">
        <v>87</v>
      </c>
      <c r="B3" s="24">
        <f t="shared" ref="B3:B12" si="0">D3*E3*F3</f>
        <v>1121212.1212121211</v>
      </c>
      <c r="C3" s="24">
        <f t="shared" ref="C3:C12" si="1">E3*F3</f>
        <v>56060.606060606056</v>
      </c>
      <c r="D3" s="25">
        <v>20</v>
      </c>
      <c r="E3" s="26">
        <v>3000</v>
      </c>
      <c r="F3" s="24">
        <f>H3*1000*G3/Umrechnungsparameter!$C$6</f>
        <v>18.686868686868685</v>
      </c>
      <c r="G3" s="23">
        <v>0.74</v>
      </c>
      <c r="H3">
        <v>1</v>
      </c>
      <c r="I3" s="3"/>
      <c r="J3" s="3"/>
      <c r="L3" s="4" t="s">
        <v>26</v>
      </c>
    </row>
    <row r="4" spans="1:12" x14ac:dyDescent="0.3">
      <c r="A4" t="s">
        <v>28</v>
      </c>
      <c r="B4" s="24">
        <f t="shared" si="0"/>
        <v>3844000000</v>
      </c>
      <c r="C4" s="24">
        <f t="shared" si="1"/>
        <v>153760000</v>
      </c>
      <c r="D4" s="25">
        <v>25</v>
      </c>
      <c r="E4" s="25">
        <v>8000</v>
      </c>
      <c r="F4" s="25">
        <v>19220</v>
      </c>
      <c r="I4" s="3"/>
      <c r="J4" s="3"/>
      <c r="L4" s="3" t="s">
        <v>13</v>
      </c>
    </row>
    <row r="5" spans="1:12" x14ac:dyDescent="0.3">
      <c r="A5" t="s">
        <v>34</v>
      </c>
      <c r="B5" s="24">
        <f t="shared" si="0"/>
        <v>6134000000</v>
      </c>
      <c r="C5" s="24">
        <f t="shared" si="1"/>
        <v>245360000</v>
      </c>
      <c r="D5" s="25">
        <v>25</v>
      </c>
      <c r="E5" s="25">
        <v>8000</v>
      </c>
      <c r="F5" s="25">
        <v>30670</v>
      </c>
      <c r="I5" s="3"/>
      <c r="J5" s="3"/>
      <c r="L5" s="12" t="s">
        <v>38</v>
      </c>
    </row>
    <row r="6" spans="1:12" x14ac:dyDescent="0.3">
      <c r="A6" t="s">
        <v>204</v>
      </c>
      <c r="B6" s="24">
        <f t="shared" si="0"/>
        <v>0</v>
      </c>
      <c r="C6" s="24">
        <f t="shared" si="1"/>
        <v>0</v>
      </c>
      <c r="D6" s="27"/>
      <c r="E6" s="27"/>
      <c r="F6" s="27"/>
      <c r="I6" s="3"/>
      <c r="J6" s="3"/>
      <c r="L6" s="22" t="s">
        <v>209</v>
      </c>
    </row>
    <row r="7" spans="1:12" x14ac:dyDescent="0.3">
      <c r="A7" t="s">
        <v>134</v>
      </c>
      <c r="B7" s="24">
        <f t="shared" si="0"/>
        <v>312500000</v>
      </c>
      <c r="C7" s="24">
        <f t="shared" si="1"/>
        <v>15625000.000000002</v>
      </c>
      <c r="D7" s="25">
        <v>20</v>
      </c>
      <c r="E7" s="25">
        <v>7500</v>
      </c>
      <c r="F7" s="25">
        <f>50000/24</f>
        <v>2083.3333333333335</v>
      </c>
      <c r="I7" s="3"/>
      <c r="J7" s="3"/>
    </row>
    <row r="8" spans="1:12" x14ac:dyDescent="0.3">
      <c r="A8" t="s">
        <v>308</v>
      </c>
      <c r="B8" s="24">
        <f t="shared" si="0"/>
        <v>0</v>
      </c>
      <c r="C8" s="24">
        <f t="shared" si="1"/>
        <v>0</v>
      </c>
      <c r="D8" s="27"/>
      <c r="E8" s="27"/>
      <c r="F8" s="27"/>
      <c r="I8" s="3"/>
      <c r="J8" s="3"/>
    </row>
    <row r="9" spans="1:12" x14ac:dyDescent="0.3">
      <c r="A9" t="s">
        <v>143</v>
      </c>
      <c r="B9" s="24">
        <f t="shared" si="0"/>
        <v>312500000</v>
      </c>
      <c r="C9" s="24">
        <f t="shared" si="1"/>
        <v>15625000.000000002</v>
      </c>
      <c r="D9" s="25">
        <v>20</v>
      </c>
      <c r="E9" s="25">
        <v>7500</v>
      </c>
      <c r="F9" s="25">
        <f>50000/24</f>
        <v>2083.3333333333335</v>
      </c>
      <c r="I9" s="3"/>
      <c r="J9" s="3"/>
    </row>
    <row r="10" spans="1:12" x14ac:dyDescent="0.3">
      <c r="A10" t="s">
        <v>303</v>
      </c>
      <c r="B10" s="24">
        <f t="shared" si="0"/>
        <v>0</v>
      </c>
      <c r="C10" s="24">
        <f t="shared" si="1"/>
        <v>0</v>
      </c>
      <c r="D10" s="27"/>
      <c r="E10" s="27"/>
      <c r="F10" s="27"/>
      <c r="I10" s="3"/>
      <c r="J10" s="3"/>
    </row>
    <row r="11" spans="1:12" x14ac:dyDescent="0.3">
      <c r="A11" t="s">
        <v>304</v>
      </c>
      <c r="B11" s="24">
        <f t="shared" si="0"/>
        <v>312500000</v>
      </c>
      <c r="C11" s="24">
        <f t="shared" si="1"/>
        <v>15625000.000000002</v>
      </c>
      <c r="D11" s="25">
        <v>20</v>
      </c>
      <c r="E11" s="25">
        <v>7500</v>
      </c>
      <c r="F11" s="25">
        <f>50000/24</f>
        <v>2083.3333333333335</v>
      </c>
      <c r="I11" s="3"/>
      <c r="J11" s="3"/>
    </row>
    <row r="12" spans="1:12" x14ac:dyDescent="0.3">
      <c r="A12" t="s">
        <v>305</v>
      </c>
      <c r="B12" s="24">
        <f t="shared" si="0"/>
        <v>6875000</v>
      </c>
      <c r="C12" s="24">
        <f t="shared" si="1"/>
        <v>343750</v>
      </c>
      <c r="D12" s="25">
        <v>20</v>
      </c>
      <c r="E12" s="25">
        <v>7500</v>
      </c>
      <c r="F12" s="25">
        <f>1100/24</f>
        <v>45.833333333333336</v>
      </c>
      <c r="I12" s="3"/>
      <c r="J12" s="3"/>
    </row>
    <row r="13" spans="1:12" x14ac:dyDescent="0.3">
      <c r="B13" s="24"/>
      <c r="C13" s="24"/>
      <c r="D13" s="24"/>
      <c r="E13" s="24"/>
      <c r="F13" s="24"/>
    </row>
    <row r="15" spans="1:12" x14ac:dyDescent="0.3">
      <c r="A15" s="33" t="s">
        <v>266</v>
      </c>
    </row>
    <row r="16" spans="1:12" x14ac:dyDescent="0.3">
      <c r="B16" s="38">
        <f>1/B2</f>
        <v>2.5482625482625488E-6</v>
      </c>
    </row>
    <row r="17" spans="2:2" x14ac:dyDescent="0.3">
      <c r="B17" s="39">
        <f>1/B3</f>
        <v>8.9189189189189203E-7</v>
      </c>
    </row>
  </sheetData>
  <hyperlinks>
    <hyperlink ref="A15" location="Verzeichnis!A1" display="Verzeichnis" xr:uid="{8DD88AAE-63C5-4200-AEB8-14A3EE458CD1}"/>
  </hyperlinks>
  <pageMargins left="0.7" right="0.7" top="0.78740157499999996" bottom="0.78740157499999996"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F310F-DE79-4D0C-9D44-E3D704577DD8}">
  <dimension ref="A1:F50"/>
  <sheetViews>
    <sheetView zoomScale="81" zoomScaleNormal="81" workbookViewId="0"/>
  </sheetViews>
  <sheetFormatPr baseColWidth="10" defaultRowHeight="14.4" x14ac:dyDescent="0.3"/>
  <cols>
    <col min="2" max="2" width="13.109375" bestFit="1" customWidth="1"/>
    <col min="3" max="4" width="15.109375" bestFit="1" customWidth="1"/>
    <col min="5" max="6" width="13" bestFit="1" customWidth="1"/>
  </cols>
  <sheetData>
    <row r="1" spans="1:1" x14ac:dyDescent="0.3">
      <c r="A1" s="33" t="s">
        <v>266</v>
      </c>
    </row>
    <row r="43" spans="2:6" x14ac:dyDescent="0.3">
      <c r="B43" t="s">
        <v>0</v>
      </c>
      <c r="C43" t="s">
        <v>4</v>
      </c>
      <c r="D43" t="s">
        <v>6</v>
      </c>
      <c r="E43" t="s">
        <v>5</v>
      </c>
      <c r="F43" t="s">
        <v>7</v>
      </c>
    </row>
    <row r="44" spans="2:6" x14ac:dyDescent="0.3">
      <c r="B44" t="s">
        <v>1</v>
      </c>
      <c r="C44">
        <v>10</v>
      </c>
      <c r="E44">
        <v>3</v>
      </c>
    </row>
    <row r="45" spans="2:6" x14ac:dyDescent="0.3">
      <c r="B45" t="s">
        <v>2</v>
      </c>
      <c r="C45">
        <v>5</v>
      </c>
      <c r="E45">
        <v>2</v>
      </c>
    </row>
    <row r="46" spans="2:6" x14ac:dyDescent="0.3">
      <c r="B46" t="s">
        <v>3</v>
      </c>
      <c r="C46">
        <v>5</v>
      </c>
      <c r="E46">
        <v>2</v>
      </c>
    </row>
    <row r="48" spans="2:6" x14ac:dyDescent="0.3">
      <c r="B48" t="s">
        <v>280</v>
      </c>
      <c r="D48">
        <v>12</v>
      </c>
      <c r="F48">
        <v>4</v>
      </c>
    </row>
    <row r="49" spans="2:6" x14ac:dyDescent="0.3">
      <c r="B49" t="s">
        <v>8</v>
      </c>
      <c r="D49">
        <v>5</v>
      </c>
      <c r="F49">
        <v>2</v>
      </c>
    </row>
    <row r="50" spans="2:6" x14ac:dyDescent="0.3">
      <c r="B50" t="s">
        <v>337</v>
      </c>
      <c r="D50">
        <v>3</v>
      </c>
      <c r="F50">
        <v>1</v>
      </c>
    </row>
  </sheetData>
  <hyperlinks>
    <hyperlink ref="A1" location="Verzeichnis!A1" display="Verzeichnis" xr:uid="{04D2E7AB-A983-413E-9A23-7BD0F2906949}"/>
  </hyperlinks>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B32EF-F535-4FB7-99BC-6FE02C14AADD}">
  <dimension ref="A1:F9"/>
  <sheetViews>
    <sheetView workbookViewId="0">
      <selection activeCell="B5" sqref="B5"/>
    </sheetView>
  </sheetViews>
  <sheetFormatPr baseColWidth="10" defaultRowHeight="14.4" x14ac:dyDescent="0.3"/>
  <cols>
    <col min="1" max="1" width="16.77734375" bestFit="1" customWidth="1"/>
    <col min="2" max="2" width="11.109375" customWidth="1"/>
  </cols>
  <sheetData>
    <row r="1" spans="1:6" x14ac:dyDescent="0.3">
      <c r="B1" t="s">
        <v>50</v>
      </c>
      <c r="F1" s="5" t="s">
        <v>12</v>
      </c>
    </row>
    <row r="2" spans="1:6" x14ac:dyDescent="0.3">
      <c r="A2" t="s">
        <v>219</v>
      </c>
      <c r="B2" s="5">
        <v>1</v>
      </c>
      <c r="F2" s="4" t="s">
        <v>26</v>
      </c>
    </row>
    <row r="3" spans="1:6" x14ac:dyDescent="0.3">
      <c r="A3" t="s">
        <v>33</v>
      </c>
      <c r="B3" s="5">
        <v>0</v>
      </c>
      <c r="F3" s="3" t="s">
        <v>217</v>
      </c>
    </row>
    <row r="4" spans="1:6" x14ac:dyDescent="0.3">
      <c r="A4" t="s">
        <v>353</v>
      </c>
      <c r="B4" s="4">
        <v>0</v>
      </c>
    </row>
    <row r="5" spans="1:6" x14ac:dyDescent="0.3">
      <c r="A5" t="s">
        <v>287</v>
      </c>
      <c r="B5" s="5">
        <v>21</v>
      </c>
    </row>
    <row r="9" spans="1:6" x14ac:dyDescent="0.3">
      <c r="A9" s="33" t="s">
        <v>266</v>
      </c>
    </row>
  </sheetData>
  <hyperlinks>
    <hyperlink ref="A9" location="Verzeichnis!A1" display="Verzeichnis" xr:uid="{E5B6A859-04EC-4B26-87AF-EA154BB395FE}"/>
  </hyperlink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FB2FE-EFD7-47C7-A812-2B85C4834713}">
  <sheetPr>
    <tabColor theme="4"/>
  </sheetPr>
  <dimension ref="A1:L19"/>
  <sheetViews>
    <sheetView workbookViewId="0">
      <selection activeCell="G8" sqref="G8"/>
    </sheetView>
  </sheetViews>
  <sheetFormatPr baseColWidth="10" defaultRowHeight="14.4" x14ac:dyDescent="0.3"/>
  <cols>
    <col min="1" max="1" width="27.88671875" bestFit="1" customWidth="1"/>
    <col min="2" max="2" width="26.5546875" bestFit="1" customWidth="1"/>
    <col min="3" max="3" width="14.5546875" bestFit="1" customWidth="1"/>
    <col min="4" max="4" width="19.88671875" bestFit="1" customWidth="1"/>
    <col min="5" max="5" width="8.44140625" bestFit="1" customWidth="1"/>
    <col min="6" max="6" width="23.5546875" customWidth="1"/>
    <col min="7" max="7" width="29" bestFit="1" customWidth="1"/>
    <col min="8" max="8" width="21.88671875" customWidth="1"/>
    <col min="9" max="9" width="22.88671875" bestFit="1" customWidth="1"/>
    <col min="10" max="10" width="24" bestFit="1" customWidth="1"/>
    <col min="12" max="12" width="34.5546875" bestFit="1" customWidth="1"/>
  </cols>
  <sheetData>
    <row r="1" spans="1:12" x14ac:dyDescent="0.3">
      <c r="A1" s="8"/>
      <c r="B1" s="8" t="s">
        <v>9</v>
      </c>
      <c r="C1" s="6" t="s">
        <v>267</v>
      </c>
      <c r="D1" s="7" t="s">
        <v>270</v>
      </c>
      <c r="E1" s="7" t="s">
        <v>271</v>
      </c>
      <c r="F1" s="10" t="s">
        <v>268</v>
      </c>
      <c r="G1" s="10" t="s">
        <v>269</v>
      </c>
      <c r="H1" s="10" t="s">
        <v>272</v>
      </c>
      <c r="I1" s="10" t="s">
        <v>273</v>
      </c>
      <c r="J1" s="7" t="s">
        <v>274</v>
      </c>
    </row>
    <row r="2" spans="1:12" x14ac:dyDescent="0.3">
      <c r="A2" s="8" t="s">
        <v>275</v>
      </c>
      <c r="B2" t="s">
        <v>19</v>
      </c>
      <c r="C2" s="2">
        <v>8.9670000000000005</v>
      </c>
      <c r="D2" s="1">
        <v>0</v>
      </c>
      <c r="E2" s="1">
        <v>0</v>
      </c>
      <c r="F2" s="9">
        <v>10.8</v>
      </c>
      <c r="G2" s="9">
        <v>10.8</v>
      </c>
      <c r="H2" s="9">
        <v>6.52</v>
      </c>
      <c r="I2" s="9">
        <v>6.52</v>
      </c>
      <c r="J2" s="1">
        <v>0</v>
      </c>
      <c r="L2" s="5" t="s">
        <v>12</v>
      </c>
    </row>
    <row r="3" spans="1:12" x14ac:dyDescent="0.3">
      <c r="A3" s="8" t="s">
        <v>281</v>
      </c>
      <c r="B3" t="s">
        <v>20</v>
      </c>
      <c r="C3" s="2">
        <v>33.299999999999997</v>
      </c>
      <c r="D3" s="1">
        <v>0</v>
      </c>
      <c r="E3" s="1">
        <v>0</v>
      </c>
      <c r="F3" s="2">
        <v>0</v>
      </c>
      <c r="G3" s="2">
        <v>0</v>
      </c>
      <c r="H3" s="9">
        <v>0</v>
      </c>
      <c r="I3" s="9">
        <v>0</v>
      </c>
      <c r="J3" s="1">
        <v>0</v>
      </c>
      <c r="L3" s="4" t="s">
        <v>26</v>
      </c>
    </row>
    <row r="4" spans="1:12" x14ac:dyDescent="0.3">
      <c r="A4" s="8" t="s">
        <v>282</v>
      </c>
      <c r="B4" t="s">
        <v>27</v>
      </c>
      <c r="C4" s="2">
        <v>0</v>
      </c>
      <c r="D4" s="1">
        <v>0</v>
      </c>
      <c r="E4" s="1">
        <v>0</v>
      </c>
      <c r="F4" s="2">
        <v>0</v>
      </c>
      <c r="G4" s="2">
        <v>0</v>
      </c>
      <c r="H4" s="9">
        <v>0</v>
      </c>
      <c r="I4" s="9">
        <v>0</v>
      </c>
      <c r="J4" s="1">
        <v>0</v>
      </c>
      <c r="L4" s="3" t="s">
        <v>13</v>
      </c>
    </row>
    <row r="5" spans="1:12" x14ac:dyDescent="0.3">
      <c r="A5" s="8" t="s">
        <v>88</v>
      </c>
      <c r="B5" t="s">
        <v>21</v>
      </c>
      <c r="C5" s="2">
        <v>1</v>
      </c>
      <c r="D5" s="1">
        <v>0</v>
      </c>
      <c r="E5" s="1">
        <v>0</v>
      </c>
      <c r="F5" s="2">
        <v>0</v>
      </c>
      <c r="G5" s="2">
        <v>0</v>
      </c>
      <c r="H5" s="9">
        <v>0</v>
      </c>
      <c r="I5" s="9">
        <v>0</v>
      </c>
      <c r="J5" s="1">
        <v>0</v>
      </c>
    </row>
    <row r="6" spans="1:12" x14ac:dyDescent="0.3">
      <c r="A6" s="8" t="s">
        <v>87</v>
      </c>
      <c r="B6" t="s">
        <v>21</v>
      </c>
      <c r="C6" s="2">
        <v>1</v>
      </c>
      <c r="D6" s="1">
        <v>0</v>
      </c>
      <c r="E6" s="1">
        <v>0</v>
      </c>
      <c r="F6" s="2">
        <v>0</v>
      </c>
      <c r="G6" s="2">
        <v>0</v>
      </c>
      <c r="H6" s="9">
        <v>0</v>
      </c>
      <c r="I6" s="9">
        <v>0</v>
      </c>
      <c r="J6" s="1">
        <v>0</v>
      </c>
    </row>
    <row r="7" spans="1:12" x14ac:dyDescent="0.3">
      <c r="A7" s="8" t="s">
        <v>331</v>
      </c>
      <c r="B7" t="s">
        <v>19</v>
      </c>
      <c r="C7" s="1">
        <v>0</v>
      </c>
      <c r="D7" s="1">
        <v>0</v>
      </c>
      <c r="E7" s="1">
        <v>0</v>
      </c>
      <c r="F7" s="9">
        <v>3</v>
      </c>
      <c r="G7" s="9">
        <v>3.4</v>
      </c>
      <c r="H7" s="9">
        <v>0</v>
      </c>
      <c r="I7" s="9">
        <v>0</v>
      </c>
      <c r="J7" s="1">
        <v>0</v>
      </c>
    </row>
    <row r="8" spans="1:12" x14ac:dyDescent="0.3">
      <c r="A8" s="8" t="s">
        <v>28</v>
      </c>
      <c r="B8" t="s">
        <v>21</v>
      </c>
      <c r="C8" s="1">
        <v>0</v>
      </c>
      <c r="D8" s="1">
        <v>0</v>
      </c>
      <c r="E8" s="1">
        <v>0</v>
      </c>
      <c r="F8" s="2">
        <v>1</v>
      </c>
      <c r="G8" s="9">
        <v>1.1000000000000001</v>
      </c>
      <c r="H8" s="9">
        <v>0</v>
      </c>
      <c r="I8" s="9">
        <v>0</v>
      </c>
      <c r="J8" s="1">
        <v>0</v>
      </c>
    </row>
    <row r="9" spans="1:12" x14ac:dyDescent="0.3">
      <c r="A9" s="8" t="s">
        <v>29</v>
      </c>
      <c r="B9" t="s">
        <v>31</v>
      </c>
      <c r="C9" s="1">
        <v>0</v>
      </c>
      <c r="D9" s="1">
        <v>0</v>
      </c>
      <c r="E9" s="1">
        <v>0</v>
      </c>
      <c r="F9" s="2">
        <v>0</v>
      </c>
      <c r="G9" s="9">
        <v>1.07</v>
      </c>
      <c r="H9" s="9">
        <v>0</v>
      </c>
      <c r="I9" s="9">
        <v>0</v>
      </c>
      <c r="J9" s="1">
        <v>0</v>
      </c>
    </row>
    <row r="10" spans="1:12" x14ac:dyDescent="0.3">
      <c r="A10" s="8" t="s">
        <v>30</v>
      </c>
      <c r="B10" t="s">
        <v>31</v>
      </c>
      <c r="C10" s="1">
        <v>0</v>
      </c>
      <c r="D10" s="1">
        <v>0</v>
      </c>
      <c r="E10" s="1">
        <v>0</v>
      </c>
      <c r="F10" s="2">
        <v>0</v>
      </c>
      <c r="G10" s="9">
        <f>0.25*10.443*0.9</f>
        <v>2.349675</v>
      </c>
      <c r="H10" s="9">
        <v>0</v>
      </c>
      <c r="I10" s="9">
        <v>0</v>
      </c>
      <c r="J10" s="1">
        <v>0</v>
      </c>
    </row>
    <row r="11" spans="1:12" x14ac:dyDescent="0.3">
      <c r="A11" s="8" t="s">
        <v>32</v>
      </c>
      <c r="B11" t="s">
        <v>21</v>
      </c>
      <c r="C11" s="1">
        <v>0</v>
      </c>
      <c r="D11" s="1">
        <v>0</v>
      </c>
      <c r="E11" s="1">
        <v>0</v>
      </c>
      <c r="F11" s="2">
        <v>0</v>
      </c>
      <c r="G11" s="11">
        <v>1</v>
      </c>
      <c r="H11" s="9">
        <v>0</v>
      </c>
      <c r="I11" s="11">
        <v>1</v>
      </c>
      <c r="J11" s="1">
        <v>0</v>
      </c>
    </row>
    <row r="12" spans="1:12" x14ac:dyDescent="0.3">
      <c r="A12" s="8" t="s">
        <v>289</v>
      </c>
      <c r="B12" t="s">
        <v>19</v>
      </c>
      <c r="C12" s="1">
        <v>0</v>
      </c>
      <c r="D12" s="1">
        <v>0</v>
      </c>
      <c r="E12" s="1">
        <v>0</v>
      </c>
      <c r="F12" s="2">
        <v>0</v>
      </c>
      <c r="G12" s="2">
        <v>0</v>
      </c>
      <c r="H12" s="9">
        <v>9.7799999999999994</v>
      </c>
      <c r="I12" s="9">
        <v>11.46</v>
      </c>
      <c r="J12" s="1">
        <v>0</v>
      </c>
    </row>
    <row r="13" spans="1:12" x14ac:dyDescent="0.3">
      <c r="A13" s="8" t="s">
        <v>34</v>
      </c>
      <c r="B13" t="s">
        <v>21</v>
      </c>
      <c r="C13" s="1">
        <v>0</v>
      </c>
      <c r="D13" s="1">
        <v>0</v>
      </c>
      <c r="E13" s="1">
        <v>0</v>
      </c>
      <c r="F13" s="2">
        <v>0</v>
      </c>
      <c r="G13" s="2">
        <v>0</v>
      </c>
      <c r="H13" s="9">
        <v>1</v>
      </c>
      <c r="I13" s="9">
        <v>1.1000000000000001</v>
      </c>
      <c r="J13" s="1">
        <v>0</v>
      </c>
    </row>
    <row r="14" spans="1:12" x14ac:dyDescent="0.3">
      <c r="A14" s="8" t="s">
        <v>35</v>
      </c>
      <c r="B14" t="s">
        <v>31</v>
      </c>
      <c r="C14" s="1">
        <v>0</v>
      </c>
      <c r="D14" s="1">
        <v>0</v>
      </c>
      <c r="E14" s="1">
        <v>0</v>
      </c>
      <c r="F14" s="2">
        <v>0</v>
      </c>
      <c r="G14" s="2">
        <v>0</v>
      </c>
      <c r="H14" s="2">
        <v>0</v>
      </c>
      <c r="I14" s="9">
        <f>0.25*16.56</f>
        <v>4.1399999999999997</v>
      </c>
      <c r="J14" s="1">
        <v>0</v>
      </c>
    </row>
    <row r="15" spans="1:12" x14ac:dyDescent="0.3">
      <c r="A15" s="8"/>
      <c r="C15" s="1"/>
      <c r="D15" s="1"/>
      <c r="E15" s="1"/>
      <c r="F15" s="1"/>
      <c r="G15" s="1"/>
      <c r="H15" s="1"/>
      <c r="I15" s="1"/>
      <c r="J15" s="1"/>
    </row>
    <row r="16" spans="1:12" x14ac:dyDescent="0.3">
      <c r="C16" s="1"/>
      <c r="D16" s="1"/>
      <c r="E16" s="1"/>
      <c r="F16" s="1"/>
      <c r="G16" s="1"/>
      <c r="H16" s="1"/>
      <c r="I16" s="1"/>
      <c r="J16" s="1"/>
    </row>
    <row r="17" spans="1:10" x14ac:dyDescent="0.3">
      <c r="A17" s="33" t="s">
        <v>266</v>
      </c>
      <c r="C17" s="1"/>
      <c r="D17" s="1"/>
      <c r="E17" s="1"/>
      <c r="F17" s="1"/>
      <c r="G17" s="1"/>
      <c r="H17" s="1"/>
      <c r="I17" s="1"/>
      <c r="J17" s="1"/>
    </row>
    <row r="18" spans="1:10" x14ac:dyDescent="0.3">
      <c r="C18" s="1"/>
      <c r="D18" s="1"/>
      <c r="E18" s="1"/>
      <c r="F18" s="1"/>
      <c r="G18" s="1"/>
      <c r="H18" s="1"/>
      <c r="I18" s="1"/>
      <c r="J18" s="1"/>
    </row>
    <row r="19" spans="1:10" x14ac:dyDescent="0.3">
      <c r="C19" s="1"/>
      <c r="D19" s="1"/>
      <c r="E19" s="1"/>
      <c r="F19" s="1"/>
      <c r="G19" s="1"/>
      <c r="H19" s="1"/>
      <c r="I19" s="1"/>
      <c r="J19" s="1"/>
    </row>
  </sheetData>
  <hyperlinks>
    <hyperlink ref="A17" location="Verzeichnis!A1" display="Verzeichnis" xr:uid="{0F498259-D574-4017-9A3C-182CF993DB52}"/>
  </hyperlinks>
  <pageMargins left="0.7" right="0.7" top="0.78740157499999996" bottom="0.78740157499999996" header="0.3" footer="0.3"/>
  <pageSetup paperSize="9" orientation="portrait" horizontalDpi="360" verticalDpi="36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AA976-5EAF-4142-9A48-8B8E2C4D0A4F}">
  <sheetPr>
    <tabColor theme="4"/>
  </sheetPr>
  <dimension ref="A1:H17"/>
  <sheetViews>
    <sheetView workbookViewId="0">
      <selection activeCell="D21" sqref="D21"/>
    </sheetView>
  </sheetViews>
  <sheetFormatPr baseColWidth="10" defaultRowHeight="14.4" x14ac:dyDescent="0.3"/>
  <cols>
    <col min="1" max="1" width="27.88671875" bestFit="1" customWidth="1"/>
    <col min="2" max="2" width="20.44140625" bestFit="1" customWidth="1"/>
    <col min="3" max="3" width="38" bestFit="1" customWidth="1"/>
    <col min="4" max="4" width="18.88671875" bestFit="1" customWidth="1"/>
    <col min="5" max="5" width="21.5546875" bestFit="1" customWidth="1"/>
    <col min="8" max="8" width="34.5546875" bestFit="1" customWidth="1"/>
  </cols>
  <sheetData>
    <row r="1" spans="1:8" x14ac:dyDescent="0.3">
      <c r="A1" s="8"/>
      <c r="B1" s="8" t="s">
        <v>14</v>
      </c>
      <c r="C1" s="8" t="s">
        <v>50</v>
      </c>
      <c r="D1" s="8" t="s">
        <v>15</v>
      </c>
      <c r="E1" s="8" t="s">
        <v>16</v>
      </c>
    </row>
    <row r="2" spans="1:8" x14ac:dyDescent="0.3">
      <c r="A2" s="8" t="s">
        <v>275</v>
      </c>
      <c r="B2" t="s">
        <v>17</v>
      </c>
      <c r="C2" s="5">
        <v>1</v>
      </c>
      <c r="D2" t="s">
        <v>23</v>
      </c>
      <c r="E2" s="5" t="s">
        <v>276</v>
      </c>
      <c r="H2" s="5" t="s">
        <v>12</v>
      </c>
    </row>
    <row r="3" spans="1:8" x14ac:dyDescent="0.3">
      <c r="A3" s="8" t="s">
        <v>281</v>
      </c>
      <c r="B3" t="s">
        <v>18</v>
      </c>
      <c r="C3" s="5">
        <v>1</v>
      </c>
      <c r="D3" t="s">
        <v>24</v>
      </c>
      <c r="E3" s="5" t="s">
        <v>283</v>
      </c>
      <c r="H3" s="4" t="s">
        <v>26</v>
      </c>
    </row>
    <row r="4" spans="1:8" x14ac:dyDescent="0.3">
      <c r="A4" s="8" t="s">
        <v>282</v>
      </c>
      <c r="B4" t="s">
        <v>18</v>
      </c>
      <c r="C4" s="5">
        <v>1</v>
      </c>
      <c r="D4" t="s">
        <v>24</v>
      </c>
      <c r="E4" s="5" t="s">
        <v>283</v>
      </c>
      <c r="H4" s="3" t="s">
        <v>13</v>
      </c>
    </row>
    <row r="5" spans="1:8" x14ac:dyDescent="0.3">
      <c r="A5" s="8" t="s">
        <v>88</v>
      </c>
      <c r="B5" t="s">
        <v>22</v>
      </c>
      <c r="C5" s="15">
        <f>'OpenLCA Ergebnisse'!D15</f>
        <v>24058.6</v>
      </c>
      <c r="D5" t="s">
        <v>25</v>
      </c>
      <c r="E5" s="16">
        <f>'OpenLCA Ergebnisse'!I15/Umrechnungsparameter!C3</f>
        <v>1094881.2915479583</v>
      </c>
      <c r="H5" s="12" t="s">
        <v>38</v>
      </c>
    </row>
    <row r="6" spans="1:8" x14ac:dyDescent="0.3">
      <c r="A6" s="8" t="s">
        <v>87</v>
      </c>
      <c r="B6" t="s">
        <v>22</v>
      </c>
      <c r="C6" s="15">
        <f>'OpenLCA Ergebnisse'!D4</f>
        <v>64758.2</v>
      </c>
      <c r="D6" t="s">
        <v>25</v>
      </c>
      <c r="E6" s="16">
        <f>'OpenLCA Ergebnisse'!I4/Umrechnungsparameter!C3</f>
        <v>696507.12250712258</v>
      </c>
    </row>
    <row r="7" spans="1:8" x14ac:dyDescent="0.3">
      <c r="A7" s="8" t="s">
        <v>331</v>
      </c>
      <c r="B7" t="s">
        <v>17</v>
      </c>
      <c r="C7" s="15">
        <v>1</v>
      </c>
      <c r="D7" t="s">
        <v>23</v>
      </c>
      <c r="E7" s="5" t="s">
        <v>132</v>
      </c>
    </row>
    <row r="8" spans="1:8" x14ac:dyDescent="0.3">
      <c r="A8" s="8" t="s">
        <v>28</v>
      </c>
      <c r="B8" t="s">
        <v>22</v>
      </c>
      <c r="C8" s="15">
        <f>'OpenLCA Ergebnisse'!D39</f>
        <v>9345900</v>
      </c>
      <c r="D8" t="s">
        <v>25</v>
      </c>
      <c r="E8" s="16">
        <f>'OpenLCA Ergebnisse'!I39/Umrechnungsparameter!C3</f>
        <v>38335232.668566003</v>
      </c>
    </row>
    <row r="9" spans="1:8" x14ac:dyDescent="0.3">
      <c r="A9" s="8" t="s">
        <v>29</v>
      </c>
      <c r="B9" t="s">
        <v>36</v>
      </c>
      <c r="C9" s="15">
        <f>'OpenLCA Ergebnisse'!D72/100</f>
        <v>4.6385300000000004E-2</v>
      </c>
      <c r="D9" t="s">
        <v>37</v>
      </c>
      <c r="E9" s="16">
        <f>'OpenLCA Ergebnisse'!I72/(100*Umrechnungsparameter!C3)</f>
        <v>0.25978860398860398</v>
      </c>
    </row>
    <row r="10" spans="1:8" x14ac:dyDescent="0.3">
      <c r="A10" s="8" t="s">
        <v>30</v>
      </c>
      <c r="B10" t="s">
        <v>36</v>
      </c>
      <c r="C10" s="15">
        <f>'OpenLCA Ergebnisse'!D82/100</f>
        <v>3.2580900000000003E-2</v>
      </c>
      <c r="D10" t="s">
        <v>37</v>
      </c>
      <c r="E10" s="16">
        <f>'OpenLCA Ergebnisse'!I82/(100*Umrechnungsparameter!C3)</f>
        <v>0.13629677113010447</v>
      </c>
    </row>
    <row r="11" spans="1:8" x14ac:dyDescent="0.3">
      <c r="A11" s="8" t="s">
        <v>32</v>
      </c>
      <c r="B11" t="s">
        <v>22</v>
      </c>
      <c r="C11" s="3">
        <v>0</v>
      </c>
      <c r="D11" t="s">
        <v>25</v>
      </c>
      <c r="E11" s="3">
        <v>0</v>
      </c>
    </row>
    <row r="12" spans="1:8" x14ac:dyDescent="0.3">
      <c r="A12" s="8" t="s">
        <v>289</v>
      </c>
      <c r="B12" t="s">
        <v>17</v>
      </c>
      <c r="C12" s="15">
        <v>1</v>
      </c>
      <c r="D12" t="s">
        <v>23</v>
      </c>
      <c r="E12" s="5" t="s">
        <v>290</v>
      </c>
    </row>
    <row r="13" spans="1:8" x14ac:dyDescent="0.3">
      <c r="A13" s="8" t="s">
        <v>34</v>
      </c>
      <c r="B13" t="s">
        <v>22</v>
      </c>
      <c r="C13" s="15">
        <f>'OpenLCA Ergebnisse'!D51</f>
        <v>13433300</v>
      </c>
      <c r="D13" t="s">
        <v>25</v>
      </c>
      <c r="E13" s="16">
        <f>'OpenLCA Ergebnisse'!I51/Umrechnungsparameter!C3</f>
        <v>53327635.327635333</v>
      </c>
    </row>
    <row r="14" spans="1:8" x14ac:dyDescent="0.3">
      <c r="A14" s="8" t="s">
        <v>35</v>
      </c>
      <c r="B14" t="s">
        <v>36</v>
      </c>
      <c r="C14" s="28">
        <f>'OpenLCA Ergebnisse'!D62/100</f>
        <v>2.4401099999999998E-2</v>
      </c>
      <c r="D14" t="s">
        <v>37</v>
      </c>
      <c r="E14" s="16">
        <f>'OpenLCA Ergebnisse'!I62/(100*Umrechnungsparameter!C3)</f>
        <v>0.11369221272554607</v>
      </c>
    </row>
    <row r="17" spans="1:1" x14ac:dyDescent="0.3">
      <c r="A17" s="33" t="s">
        <v>266</v>
      </c>
    </row>
  </sheetData>
  <hyperlinks>
    <hyperlink ref="A17" location="Verzeichnis!A1" display="Verzeichnis" xr:uid="{96E1863C-FE6B-49CD-B14D-5462BCB80BE5}"/>
  </hyperlinks>
  <pageMargins left="0.7" right="0.7" top="0.78740157499999996" bottom="0.78740157499999996" header="0.3" footer="0.3"/>
  <pageSetup paperSize="9" orientation="portrait" horizontalDpi="360" verticalDpi="36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B7A99-1367-49D3-AFB8-04B0ADFFE1C5}">
  <sheetPr>
    <tabColor theme="4"/>
  </sheetPr>
  <dimension ref="A1:L8"/>
  <sheetViews>
    <sheetView workbookViewId="0">
      <selection activeCell="G8" sqref="G8"/>
    </sheetView>
  </sheetViews>
  <sheetFormatPr baseColWidth="10" defaultRowHeight="14.4" x14ac:dyDescent="0.3"/>
  <cols>
    <col min="1" max="1" width="15.88671875" bestFit="1" customWidth="1"/>
    <col min="3" max="3" width="14.88671875" bestFit="1" customWidth="1"/>
    <col min="4" max="4" width="19.88671875" bestFit="1" customWidth="1"/>
    <col min="6" max="6" width="23.88671875" bestFit="1" customWidth="1"/>
    <col min="7" max="7" width="29" bestFit="1" customWidth="1"/>
    <col min="8" max="8" width="23.88671875" customWidth="1"/>
    <col min="9" max="9" width="21.88671875" bestFit="1" customWidth="1"/>
    <col min="10" max="10" width="18.44140625" bestFit="1" customWidth="1"/>
    <col min="12" max="12" width="34.5546875" bestFit="1" customWidth="1"/>
  </cols>
  <sheetData>
    <row r="1" spans="1:12" x14ac:dyDescent="0.3">
      <c r="A1" s="8"/>
      <c r="B1" s="8" t="s">
        <v>9</v>
      </c>
      <c r="C1" s="6" t="s">
        <v>267</v>
      </c>
      <c r="D1" s="7" t="s">
        <v>270</v>
      </c>
      <c r="E1" s="7" t="s">
        <v>271</v>
      </c>
      <c r="F1" s="10" t="s">
        <v>268</v>
      </c>
      <c r="G1" s="10" t="s">
        <v>269</v>
      </c>
      <c r="H1" s="10" t="s">
        <v>272</v>
      </c>
      <c r="I1" s="10" t="s">
        <v>273</v>
      </c>
      <c r="J1" s="7" t="s">
        <v>274</v>
      </c>
    </row>
    <row r="2" spans="1:12" x14ac:dyDescent="0.3">
      <c r="A2" t="s">
        <v>219</v>
      </c>
      <c r="B2" t="s">
        <v>19</v>
      </c>
      <c r="C2" s="5">
        <v>0</v>
      </c>
      <c r="D2" s="3">
        <v>0</v>
      </c>
      <c r="E2" s="3">
        <v>0</v>
      </c>
      <c r="F2" s="4">
        <v>8.25</v>
      </c>
      <c r="G2" s="4">
        <v>9.35</v>
      </c>
      <c r="H2" s="4">
        <v>18.399999999999999</v>
      </c>
      <c r="I2" s="4">
        <f>21.56*0.1</f>
        <v>2.1560000000000001</v>
      </c>
      <c r="J2" s="3">
        <v>0</v>
      </c>
      <c r="L2" s="5" t="s">
        <v>12</v>
      </c>
    </row>
    <row r="3" spans="1:12" x14ac:dyDescent="0.3">
      <c r="A3" t="s">
        <v>33</v>
      </c>
      <c r="B3" t="s">
        <v>19</v>
      </c>
      <c r="C3" s="5">
        <v>0</v>
      </c>
      <c r="D3" s="3">
        <v>0</v>
      </c>
      <c r="E3" s="3">
        <v>0</v>
      </c>
      <c r="F3" s="4">
        <v>0</v>
      </c>
      <c r="G3" s="4">
        <v>9.35</v>
      </c>
      <c r="H3" s="4">
        <v>0</v>
      </c>
      <c r="I3" s="4">
        <f>21.56*0.9</f>
        <v>19.404</v>
      </c>
      <c r="J3" s="3">
        <v>0</v>
      </c>
      <c r="L3" s="4" t="s">
        <v>26</v>
      </c>
    </row>
    <row r="4" spans="1:12" x14ac:dyDescent="0.3">
      <c r="A4" t="s">
        <v>353</v>
      </c>
      <c r="B4" t="s">
        <v>19</v>
      </c>
      <c r="C4" s="5">
        <v>0</v>
      </c>
      <c r="D4" s="3">
        <v>0</v>
      </c>
      <c r="E4" s="3">
        <v>0</v>
      </c>
      <c r="F4" s="4">
        <v>0</v>
      </c>
      <c r="G4" s="4">
        <v>0</v>
      </c>
      <c r="H4" s="4">
        <v>0.1</v>
      </c>
      <c r="I4" s="4">
        <f>0.0967*(1+0.709/5.183)</f>
        <v>0.10992791819409607</v>
      </c>
      <c r="J4" s="3">
        <v>0</v>
      </c>
      <c r="L4" s="3" t="s">
        <v>13</v>
      </c>
    </row>
    <row r="5" spans="1:12" x14ac:dyDescent="0.3">
      <c r="A5" t="s">
        <v>287</v>
      </c>
      <c r="B5" t="s">
        <v>19</v>
      </c>
      <c r="C5" s="5">
        <v>0</v>
      </c>
      <c r="D5" s="3">
        <v>0</v>
      </c>
      <c r="E5" s="3">
        <v>0</v>
      </c>
      <c r="F5" s="4">
        <v>0</v>
      </c>
      <c r="G5" s="4">
        <v>0</v>
      </c>
      <c r="H5" s="4">
        <f>1.37*10^-7</f>
        <v>1.37E-7</v>
      </c>
      <c r="I5" s="4">
        <f>0.0000001275*(1+0.709/5.183)</f>
        <v>1.4494115377194673E-7</v>
      </c>
      <c r="J5" s="3">
        <v>0</v>
      </c>
    </row>
    <row r="8" spans="1:12" x14ac:dyDescent="0.3">
      <c r="A8" s="33" t="s">
        <v>266</v>
      </c>
    </row>
  </sheetData>
  <phoneticPr fontId="2" type="noConversion"/>
  <hyperlinks>
    <hyperlink ref="A8" location="Verzeichnis!A1" display="Verzeichnis" xr:uid="{E041C163-F4B2-476F-8565-7CA10453F5E8}"/>
  </hyperlink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380C4-AEA3-400C-BD9D-17374EBEC36E}">
  <sheetPr>
    <tabColor theme="5"/>
  </sheetPr>
  <dimension ref="A1:L19"/>
  <sheetViews>
    <sheetView tabSelected="1" workbookViewId="0">
      <pane xSplit="2" ySplit="1" topLeftCell="C2" activePane="bottomRight" state="frozen"/>
      <selection pane="topRight" activeCell="C1" sqref="C1"/>
      <selection pane="bottomLeft" activeCell="A2" sqref="A2"/>
      <selection pane="bottomRight" activeCell="J5" sqref="J5"/>
    </sheetView>
  </sheetViews>
  <sheetFormatPr baseColWidth="10" defaultRowHeight="14.4" x14ac:dyDescent="0.3"/>
  <cols>
    <col min="1" max="1" width="23.88671875" bestFit="1" customWidth="1"/>
    <col min="2" max="2" width="29.44140625" bestFit="1" customWidth="1"/>
    <col min="3" max="3" width="17.44140625" bestFit="1" customWidth="1"/>
    <col min="4" max="4" width="12.109375" bestFit="1" customWidth="1"/>
    <col min="5" max="5" width="13.88671875" bestFit="1" customWidth="1"/>
    <col min="6" max="6" width="14.109375" bestFit="1" customWidth="1"/>
    <col min="7" max="7" width="25.44140625" bestFit="1" customWidth="1"/>
    <col min="8" max="8" width="27.5546875" bestFit="1" customWidth="1"/>
    <col min="9" max="9" width="26.88671875" bestFit="1" customWidth="1"/>
    <col min="10" max="10" width="26.88671875" customWidth="1"/>
    <col min="11" max="11" width="22.33203125" bestFit="1" customWidth="1"/>
    <col min="12" max="12" width="34.5546875" bestFit="1" customWidth="1"/>
  </cols>
  <sheetData>
    <row r="1" spans="1:12" x14ac:dyDescent="0.3">
      <c r="A1" s="8" t="s">
        <v>171</v>
      </c>
      <c r="B1" s="8" t="s">
        <v>9</v>
      </c>
      <c r="C1" s="8" t="s">
        <v>306</v>
      </c>
      <c r="D1" s="7" t="s">
        <v>307</v>
      </c>
      <c r="E1" s="10" t="s">
        <v>311</v>
      </c>
      <c r="F1" s="7" t="s">
        <v>302</v>
      </c>
      <c r="G1" s="10" t="s">
        <v>309</v>
      </c>
      <c r="H1" s="10" t="s">
        <v>310</v>
      </c>
      <c r="I1" s="10" t="s">
        <v>358</v>
      </c>
      <c r="J1" s="10" t="s">
        <v>368</v>
      </c>
      <c r="K1" s="10" t="s">
        <v>359</v>
      </c>
    </row>
    <row r="2" spans="1:12" x14ac:dyDescent="0.3">
      <c r="A2" t="s">
        <v>294</v>
      </c>
      <c r="B2" t="s">
        <v>27</v>
      </c>
      <c r="C2" s="5">
        <v>1.5</v>
      </c>
      <c r="D2" s="3">
        <v>0</v>
      </c>
      <c r="E2" s="5">
        <v>6.76</v>
      </c>
      <c r="F2">
        <v>0</v>
      </c>
      <c r="G2" s="4">
        <v>0.97</v>
      </c>
      <c r="H2">
        <v>0</v>
      </c>
      <c r="I2" s="5">
        <f>1.2/3.6*5</f>
        <v>1.6666666666666665</v>
      </c>
      <c r="J2" s="37">
        <v>0</v>
      </c>
      <c r="K2">
        <v>0</v>
      </c>
      <c r="L2" s="5" t="s">
        <v>12</v>
      </c>
    </row>
    <row r="3" spans="1:12" x14ac:dyDescent="0.3">
      <c r="A3" t="s">
        <v>298</v>
      </c>
      <c r="B3" t="s">
        <v>27</v>
      </c>
      <c r="C3" s="5">
        <v>0</v>
      </c>
      <c r="D3" s="3">
        <v>0</v>
      </c>
      <c r="E3" s="5">
        <v>0</v>
      </c>
      <c r="F3" s="4">
        <v>1.2</v>
      </c>
      <c r="G3" s="4">
        <v>0</v>
      </c>
      <c r="H3" s="4">
        <v>0.37</v>
      </c>
      <c r="I3" s="4">
        <v>0</v>
      </c>
      <c r="J3">
        <v>0</v>
      </c>
      <c r="K3" s="4">
        <v>0.37</v>
      </c>
      <c r="L3" s="5"/>
    </row>
    <row r="4" spans="1:12" x14ac:dyDescent="0.3">
      <c r="A4" t="s">
        <v>134</v>
      </c>
      <c r="C4" s="29">
        <f>1/Auslastung_Wirkungsgrad!B7</f>
        <v>3.2000000000000001E-9</v>
      </c>
      <c r="D4">
        <v>0</v>
      </c>
      <c r="E4">
        <v>0</v>
      </c>
      <c r="F4">
        <v>0</v>
      </c>
      <c r="G4">
        <v>0</v>
      </c>
      <c r="H4">
        <v>0</v>
      </c>
      <c r="I4" s="4">
        <v>0</v>
      </c>
      <c r="J4">
        <v>0</v>
      </c>
      <c r="K4">
        <v>0</v>
      </c>
      <c r="L4" s="4" t="s">
        <v>26</v>
      </c>
    </row>
    <row r="5" spans="1:12" x14ac:dyDescent="0.3">
      <c r="A5" t="s">
        <v>308</v>
      </c>
      <c r="C5">
        <v>0</v>
      </c>
      <c r="D5" s="3">
        <v>1</v>
      </c>
      <c r="E5">
        <v>0</v>
      </c>
      <c r="F5">
        <v>0</v>
      </c>
      <c r="G5">
        <v>0</v>
      </c>
      <c r="H5">
        <v>0</v>
      </c>
      <c r="I5" s="4">
        <v>0</v>
      </c>
      <c r="J5">
        <v>0</v>
      </c>
      <c r="K5">
        <v>0</v>
      </c>
      <c r="L5" s="3" t="s">
        <v>13</v>
      </c>
    </row>
    <row r="6" spans="1:12" x14ac:dyDescent="0.3">
      <c r="A6" t="s">
        <v>143</v>
      </c>
      <c r="B6" t="s">
        <v>220</v>
      </c>
      <c r="C6">
        <v>0</v>
      </c>
      <c r="D6">
        <v>0</v>
      </c>
      <c r="E6" s="31">
        <f>1/Auslastung_Wirkungsgrad!B9</f>
        <v>3.2000000000000001E-9</v>
      </c>
      <c r="F6">
        <v>0</v>
      </c>
      <c r="G6">
        <v>0</v>
      </c>
      <c r="H6">
        <v>0</v>
      </c>
      <c r="I6" s="4">
        <v>0</v>
      </c>
      <c r="J6">
        <v>0</v>
      </c>
      <c r="K6">
        <v>0</v>
      </c>
    </row>
    <row r="7" spans="1:12" x14ac:dyDescent="0.3">
      <c r="A7" t="s">
        <v>303</v>
      </c>
      <c r="C7">
        <v>0</v>
      </c>
      <c r="D7">
        <v>0</v>
      </c>
      <c r="E7">
        <v>0</v>
      </c>
      <c r="F7" s="3">
        <v>1</v>
      </c>
      <c r="G7">
        <v>0</v>
      </c>
      <c r="H7">
        <v>0</v>
      </c>
      <c r="I7" s="4">
        <v>0</v>
      </c>
      <c r="J7">
        <v>0</v>
      </c>
      <c r="K7">
        <v>0</v>
      </c>
    </row>
    <row r="8" spans="1:12" x14ac:dyDescent="0.3">
      <c r="A8" t="s">
        <v>304</v>
      </c>
      <c r="B8" t="s">
        <v>221</v>
      </c>
      <c r="C8">
        <v>0</v>
      </c>
      <c r="D8">
        <v>0</v>
      </c>
      <c r="E8">
        <v>0</v>
      </c>
      <c r="F8">
        <v>0</v>
      </c>
      <c r="G8" s="30">
        <f>100000/Auslastung_Wirkungsgrad!B11</f>
        <v>3.2000000000000003E-4</v>
      </c>
      <c r="H8">
        <v>0</v>
      </c>
      <c r="I8" s="4">
        <v>0</v>
      </c>
      <c r="J8">
        <v>0</v>
      </c>
      <c r="K8">
        <v>0</v>
      </c>
    </row>
    <row r="9" spans="1:12" x14ac:dyDescent="0.3">
      <c r="A9" t="s">
        <v>305</v>
      </c>
      <c r="B9" t="s">
        <v>221</v>
      </c>
      <c r="C9">
        <v>0</v>
      </c>
      <c r="D9">
        <v>0</v>
      </c>
      <c r="E9">
        <v>0</v>
      </c>
      <c r="F9">
        <v>0</v>
      </c>
      <c r="G9">
        <v>0</v>
      </c>
      <c r="H9" s="30">
        <f>1300/Auslastung_Wirkungsgrad!B12</f>
        <v>1.890909090909091E-4</v>
      </c>
      <c r="I9" s="4">
        <v>0</v>
      </c>
      <c r="J9">
        <v>0</v>
      </c>
      <c r="K9">
        <v>0</v>
      </c>
    </row>
    <row r="10" spans="1:12" x14ac:dyDescent="0.3">
      <c r="A10" t="s">
        <v>147</v>
      </c>
      <c r="B10" t="s">
        <v>220</v>
      </c>
      <c r="C10">
        <v>0</v>
      </c>
      <c r="D10">
        <v>0</v>
      </c>
      <c r="E10">
        <v>0</v>
      </c>
      <c r="F10">
        <v>0</v>
      </c>
      <c r="G10">
        <v>0</v>
      </c>
      <c r="H10">
        <v>0</v>
      </c>
      <c r="I10" s="4">
        <f>5*0.0000000004</f>
        <v>2.0000000000000001E-9</v>
      </c>
      <c r="J10" s="37">
        <v>0</v>
      </c>
      <c r="K10" s="3">
        <v>0</v>
      </c>
    </row>
    <row r="11" spans="1:12" x14ac:dyDescent="0.3">
      <c r="A11" t="s">
        <v>360</v>
      </c>
      <c r="B11" t="s">
        <v>19</v>
      </c>
      <c r="C11">
        <v>0</v>
      </c>
      <c r="D11">
        <v>0</v>
      </c>
      <c r="E11">
        <v>0</v>
      </c>
      <c r="F11">
        <v>0</v>
      </c>
      <c r="G11">
        <v>0</v>
      </c>
      <c r="H11">
        <v>0</v>
      </c>
      <c r="I11">
        <v>4</v>
      </c>
      <c r="J11">
        <v>0</v>
      </c>
      <c r="K11">
        <v>0</v>
      </c>
    </row>
    <row r="12" spans="1:12" x14ac:dyDescent="0.3">
      <c r="A12" t="s">
        <v>135</v>
      </c>
      <c r="B12" t="s">
        <v>31</v>
      </c>
      <c r="C12">
        <v>0</v>
      </c>
      <c r="D12">
        <v>0</v>
      </c>
      <c r="E12">
        <v>0</v>
      </c>
      <c r="F12">
        <v>0</v>
      </c>
      <c r="G12" s="4">
        <f>0.95/500000*1000</f>
        <v>1.8999999999999998E-3</v>
      </c>
      <c r="H12">
        <v>0</v>
      </c>
      <c r="I12" s="4">
        <v>0</v>
      </c>
      <c r="J12">
        <v>0</v>
      </c>
      <c r="K12">
        <v>0</v>
      </c>
    </row>
    <row r="13" spans="1:12" x14ac:dyDescent="0.3">
      <c r="A13" t="s">
        <v>137</v>
      </c>
      <c r="B13" t="s">
        <v>31</v>
      </c>
      <c r="C13">
        <v>0</v>
      </c>
      <c r="D13">
        <v>0</v>
      </c>
      <c r="E13">
        <v>0</v>
      </c>
      <c r="F13">
        <v>0</v>
      </c>
      <c r="G13" s="4">
        <v>16.13</v>
      </c>
      <c r="H13">
        <v>0</v>
      </c>
      <c r="I13" s="4">
        <v>0</v>
      </c>
      <c r="J13">
        <v>0</v>
      </c>
      <c r="K13">
        <v>0</v>
      </c>
    </row>
    <row r="14" spans="1:12" x14ac:dyDescent="0.3">
      <c r="A14" t="s">
        <v>136</v>
      </c>
      <c r="B14" t="s">
        <v>31</v>
      </c>
      <c r="C14">
        <v>0</v>
      </c>
      <c r="D14">
        <v>0</v>
      </c>
      <c r="E14">
        <v>0</v>
      </c>
      <c r="F14">
        <v>0</v>
      </c>
      <c r="G14" s="4">
        <f>0.05/500000*1000</f>
        <v>1E-4</v>
      </c>
      <c r="H14">
        <v>0</v>
      </c>
      <c r="I14" s="4">
        <v>0</v>
      </c>
      <c r="J14">
        <v>0</v>
      </c>
      <c r="K14">
        <v>0</v>
      </c>
    </row>
    <row r="15" spans="1:12" x14ac:dyDescent="0.3">
      <c r="A15" t="s">
        <v>133</v>
      </c>
      <c r="B15" t="s">
        <v>232</v>
      </c>
      <c r="C15" s="5">
        <v>1.5</v>
      </c>
      <c r="D15" s="3">
        <v>0</v>
      </c>
      <c r="E15" s="5">
        <v>1.65</v>
      </c>
      <c r="F15" s="3">
        <v>0</v>
      </c>
      <c r="G15" s="5">
        <v>2.5</v>
      </c>
      <c r="H15" s="5">
        <v>1</v>
      </c>
      <c r="I15" s="4">
        <v>1.5</v>
      </c>
      <c r="J15">
        <v>0</v>
      </c>
      <c r="K15" s="5">
        <v>0</v>
      </c>
    </row>
    <row r="16" spans="1:12" x14ac:dyDescent="0.3">
      <c r="A16" t="s">
        <v>138</v>
      </c>
      <c r="B16" t="s">
        <v>232</v>
      </c>
      <c r="C16">
        <v>0</v>
      </c>
      <c r="D16">
        <v>0</v>
      </c>
      <c r="E16">
        <v>0</v>
      </c>
      <c r="F16">
        <v>0</v>
      </c>
      <c r="G16">
        <v>0</v>
      </c>
      <c r="H16" s="4">
        <v>30</v>
      </c>
      <c r="I16" s="4">
        <v>0</v>
      </c>
      <c r="J16">
        <v>0</v>
      </c>
      <c r="K16">
        <v>0</v>
      </c>
    </row>
    <row r="17" spans="1:11" x14ac:dyDescent="0.3">
      <c r="A17" t="s">
        <v>369</v>
      </c>
      <c r="B17" t="s">
        <v>232</v>
      </c>
      <c r="C17">
        <v>0</v>
      </c>
      <c r="D17">
        <v>0</v>
      </c>
      <c r="E17">
        <v>0</v>
      </c>
      <c r="F17">
        <v>0</v>
      </c>
      <c r="G17" s="4">
        <v>0</v>
      </c>
      <c r="H17">
        <v>0</v>
      </c>
      <c r="I17" s="4">
        <v>0</v>
      </c>
      <c r="J17">
        <v>0</v>
      </c>
      <c r="K17" s="5">
        <v>15</v>
      </c>
    </row>
    <row r="19" spans="1:11" x14ac:dyDescent="0.3">
      <c r="A19" s="33" t="s">
        <v>266</v>
      </c>
    </row>
  </sheetData>
  <phoneticPr fontId="2" type="noConversion"/>
  <hyperlinks>
    <hyperlink ref="A19" location="Verzeichnis!A1" display="Verzeichnis" xr:uid="{24C01B26-373E-4CE7-8F12-F98A367A266A}"/>
  </hyperlinks>
  <pageMargins left="0.7" right="0.7" top="0.78740157499999996" bottom="0.78740157499999996"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E7CDA-559E-49BB-AC6F-59B33524645D}">
  <sheetPr>
    <tabColor theme="5"/>
  </sheetPr>
  <dimension ref="A1:H19"/>
  <sheetViews>
    <sheetView workbookViewId="0">
      <selection activeCell="C21" sqref="C21"/>
    </sheetView>
  </sheetViews>
  <sheetFormatPr baseColWidth="10" defaultRowHeight="14.4" x14ac:dyDescent="0.3"/>
  <cols>
    <col min="1" max="1" width="23.88671875" bestFit="1" customWidth="1"/>
    <col min="2" max="3" width="30.109375" bestFit="1" customWidth="1"/>
    <col min="4" max="4" width="18.88671875" bestFit="1" customWidth="1"/>
    <col min="5" max="5" width="22.5546875" bestFit="1" customWidth="1"/>
    <col min="6" max="6" width="11.5546875" customWidth="1"/>
    <col min="8" max="8" width="34.5546875" bestFit="1" customWidth="1"/>
  </cols>
  <sheetData>
    <row r="1" spans="1:8" x14ac:dyDescent="0.3">
      <c r="A1" s="8"/>
      <c r="B1" s="8" t="s">
        <v>14</v>
      </c>
      <c r="C1" s="8" t="s">
        <v>50</v>
      </c>
      <c r="D1" s="8" t="s">
        <v>15</v>
      </c>
      <c r="E1" s="8" t="s">
        <v>16</v>
      </c>
    </row>
    <row r="2" spans="1:8" x14ac:dyDescent="0.3">
      <c r="A2" t="s">
        <v>294</v>
      </c>
      <c r="B2" t="s">
        <v>27</v>
      </c>
      <c r="C2" s="5">
        <v>1</v>
      </c>
      <c r="E2" s="5" t="s">
        <v>283</v>
      </c>
      <c r="H2" s="5" t="s">
        <v>12</v>
      </c>
    </row>
    <row r="3" spans="1:8" x14ac:dyDescent="0.3">
      <c r="A3" t="s">
        <v>298</v>
      </c>
      <c r="B3" t="s">
        <v>27</v>
      </c>
      <c r="C3" s="5">
        <v>1</v>
      </c>
      <c r="E3" s="5"/>
      <c r="H3" s="5"/>
    </row>
    <row r="4" spans="1:8" x14ac:dyDescent="0.3">
      <c r="A4" t="s">
        <v>134</v>
      </c>
      <c r="B4" t="s">
        <v>139</v>
      </c>
      <c r="C4" s="3">
        <v>0</v>
      </c>
      <c r="E4" s="3">
        <v>0</v>
      </c>
      <c r="H4" s="4" t="s">
        <v>26</v>
      </c>
    </row>
    <row r="5" spans="1:8" x14ac:dyDescent="0.3">
      <c r="A5" t="s">
        <v>308</v>
      </c>
      <c r="B5" t="s">
        <v>139</v>
      </c>
      <c r="C5" s="3">
        <v>0</v>
      </c>
      <c r="E5" s="3">
        <v>0</v>
      </c>
      <c r="H5" s="3" t="s">
        <v>13</v>
      </c>
    </row>
    <row r="6" spans="1:8" x14ac:dyDescent="0.3">
      <c r="A6" t="s">
        <v>143</v>
      </c>
      <c r="B6" t="s">
        <v>139</v>
      </c>
      <c r="C6" s="15">
        <f>'OpenLCA Ergebnisse'!D100</f>
        <v>11649600</v>
      </c>
      <c r="D6" s="42"/>
      <c r="E6" s="17">
        <f>'OpenLCA Ergebnisse'!I100/Umrechnungsparameter!C3</f>
        <v>60635802.469135806</v>
      </c>
      <c r="H6" s="12" t="s">
        <v>38</v>
      </c>
    </row>
    <row r="7" spans="1:8" x14ac:dyDescent="0.3">
      <c r="A7" t="s">
        <v>303</v>
      </c>
      <c r="B7" t="s">
        <v>139</v>
      </c>
      <c r="C7" s="3">
        <v>0</v>
      </c>
      <c r="E7" s="3">
        <v>0</v>
      </c>
    </row>
    <row r="8" spans="1:8" x14ac:dyDescent="0.3">
      <c r="A8" t="s">
        <v>304</v>
      </c>
      <c r="B8" t="s">
        <v>211</v>
      </c>
      <c r="C8" s="15">
        <f>'OpenLCA Ergebnisse'!D109</f>
        <v>8.0372000000000003</v>
      </c>
      <c r="D8" s="43"/>
      <c r="E8" s="17">
        <f>'OpenLCA Ergebnisse'!I109/Umrechnungsparameter!C3</f>
        <v>55.894406457739798</v>
      </c>
    </row>
    <row r="9" spans="1:8" x14ac:dyDescent="0.3">
      <c r="A9" t="s">
        <v>305</v>
      </c>
      <c r="B9" t="s">
        <v>211</v>
      </c>
      <c r="C9" s="15">
        <f>'OpenLCA Ergebnisse'!D109</f>
        <v>8.0372000000000003</v>
      </c>
      <c r="E9" s="17">
        <f>'OpenLCA Ergebnisse'!I109/Umrechnungsparameter!C3</f>
        <v>55.894406457739798</v>
      </c>
    </row>
    <row r="10" spans="1:8" x14ac:dyDescent="0.3">
      <c r="A10" t="s">
        <v>147</v>
      </c>
      <c r="B10" t="s">
        <v>139</v>
      </c>
      <c r="C10" s="41">
        <f>'OpenLCA Ergebnisse'!D189</f>
        <v>148508000</v>
      </c>
      <c r="D10" s="14"/>
      <c r="E10" s="17"/>
    </row>
    <row r="11" spans="1:8" x14ac:dyDescent="0.3">
      <c r="A11" t="s">
        <v>360</v>
      </c>
      <c r="B11" t="s">
        <v>27</v>
      </c>
      <c r="C11" s="15">
        <v>0.16200000000000001</v>
      </c>
      <c r="E11" s="17"/>
    </row>
    <row r="12" spans="1:8" x14ac:dyDescent="0.3">
      <c r="A12" t="s">
        <v>135</v>
      </c>
      <c r="B12" t="s">
        <v>183</v>
      </c>
      <c r="C12" s="18">
        <f>'OpenLCA Ergebnisse'!D119/1000</f>
        <v>2.3165099999999999E-3</v>
      </c>
      <c r="E12" s="19">
        <f>'OpenLCA Ergebnisse'!I119/Umrechnungsparameter!C3/1000</f>
        <v>8.6106932573599242E-3</v>
      </c>
    </row>
    <row r="13" spans="1:8" x14ac:dyDescent="0.3">
      <c r="A13" t="s">
        <v>137</v>
      </c>
      <c r="B13" t="s">
        <v>183</v>
      </c>
      <c r="C13" s="18">
        <f>'OpenLCA Ergebnisse'!D115/1000</f>
        <v>1.6822E-3</v>
      </c>
      <c r="E13" s="19">
        <f>'OpenLCA Ergebnisse'!I115/Umrechnungsparameter!C3/1000</f>
        <v>5.364387464387464E-4</v>
      </c>
    </row>
    <row r="14" spans="1:8" x14ac:dyDescent="0.3">
      <c r="A14" t="s">
        <v>136</v>
      </c>
      <c r="B14" t="s">
        <v>183</v>
      </c>
      <c r="C14" s="15">
        <f>'OpenLCA Ergebnisse'!D138/1000</f>
        <v>68.793700000000001</v>
      </c>
      <c r="E14" s="17">
        <f>'OpenLCA Ergebnisse'!I138/Umrechnungsparameter!C3/1000</f>
        <v>10340.930674264007</v>
      </c>
    </row>
    <row r="15" spans="1:8" x14ac:dyDescent="0.3">
      <c r="A15" t="s">
        <v>133</v>
      </c>
      <c r="C15">
        <v>0</v>
      </c>
    </row>
    <row r="16" spans="1:8" x14ac:dyDescent="0.3">
      <c r="A16" t="s">
        <v>138</v>
      </c>
      <c r="C16">
        <v>0</v>
      </c>
    </row>
    <row r="17" spans="1:3" x14ac:dyDescent="0.3">
      <c r="A17" t="s">
        <v>369</v>
      </c>
      <c r="C17">
        <v>0</v>
      </c>
    </row>
    <row r="19" spans="1:3" x14ac:dyDescent="0.3">
      <c r="A19" s="33" t="s">
        <v>266</v>
      </c>
    </row>
  </sheetData>
  <hyperlinks>
    <hyperlink ref="A19" location="Verzeichnis!A1" display="Verzeichnis" xr:uid="{19E30CEE-EEF0-4C4E-92C5-1F93366817C9}"/>
  </hyperlinks>
  <pageMargins left="0.7" right="0.7" top="0.78740157499999996" bottom="0.78740157499999996" header="0.3" footer="0.3"/>
  <pageSetup paperSize="9" orientation="portrait" horizontalDpi="360" verticalDpi="36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E1934-63B6-4AAE-8A6A-CED6ECBBED2F}">
  <sheetPr>
    <tabColor theme="7"/>
  </sheetPr>
  <dimension ref="A1:K6"/>
  <sheetViews>
    <sheetView workbookViewId="0">
      <selection activeCell="E30" sqref="E30"/>
    </sheetView>
  </sheetViews>
  <sheetFormatPr baseColWidth="10" defaultRowHeight="14.4" x14ac:dyDescent="0.3"/>
  <cols>
    <col min="2" max="2" width="20.109375" bestFit="1" customWidth="1"/>
    <col min="3" max="3" width="22.88671875" bestFit="1" customWidth="1"/>
    <col min="4" max="4" width="19.44140625" bestFit="1" customWidth="1"/>
    <col min="5" max="5" width="18.44140625" bestFit="1" customWidth="1"/>
    <col min="6" max="6" width="18.44140625" customWidth="1"/>
    <col min="7" max="7" width="25.5546875" bestFit="1" customWidth="1"/>
    <col min="8" max="8" width="25.88671875" bestFit="1" customWidth="1"/>
    <col min="9" max="9" width="18.5546875" bestFit="1" customWidth="1"/>
    <col min="11" max="11" width="34.5546875" bestFit="1" customWidth="1"/>
  </cols>
  <sheetData>
    <row r="1" spans="1:11" x14ac:dyDescent="0.3">
      <c r="A1" s="8" t="s">
        <v>172</v>
      </c>
      <c r="B1" s="8" t="s">
        <v>9</v>
      </c>
      <c r="C1" s="8" t="s">
        <v>224</v>
      </c>
      <c r="D1" s="8" t="s">
        <v>315</v>
      </c>
      <c r="E1" s="8" t="s">
        <v>312</v>
      </c>
      <c r="F1" s="8" t="s">
        <v>364</v>
      </c>
      <c r="G1" s="8" t="s">
        <v>318</v>
      </c>
      <c r="H1" s="8" t="s">
        <v>316</v>
      </c>
      <c r="I1" s="8" t="s">
        <v>317</v>
      </c>
    </row>
    <row r="2" spans="1:11" x14ac:dyDescent="0.3">
      <c r="A2" t="s">
        <v>50</v>
      </c>
      <c r="B2" t="s">
        <v>189</v>
      </c>
      <c r="C2" s="12">
        <f>Transport_Korrekturfaktoren!E2*'OpenLCA Ergebnisse'!D158</f>
        <v>0.46423999999999999</v>
      </c>
      <c r="D2" s="12">
        <f>Transport_Korrekturfaktoren!F2*'OpenLCA Ergebnisse'!D162</f>
        <v>6.114205344585092E-2</v>
      </c>
      <c r="E2" s="12">
        <f>Transport_Korrekturfaktoren!H2*'OpenLCA Ergebnisse'!D166</f>
        <v>0.1208137</v>
      </c>
      <c r="F2" s="12">
        <f>Transport_Korrekturfaktoren!G2*'OpenLCA Ergebnisse'!D162</f>
        <v>3.3235474006116206E-2</v>
      </c>
      <c r="G2" s="12">
        <f>Transport_Korrekturfaktoren!I2*'OpenLCA Ergebnisse'!D170</f>
        <v>3.8692320000000002</v>
      </c>
      <c r="H2" s="12">
        <f>Transport_Korrekturfaktoren!J2*'OpenLCA Ergebnisse'!D170</f>
        <v>0.45011200000000001</v>
      </c>
      <c r="I2" s="12">
        <f>Transport_Korrekturfaktoren!K2*'OpenLCA Ergebnisse'!D170</f>
        <v>1.38496</v>
      </c>
      <c r="K2" s="5" t="s">
        <v>12</v>
      </c>
    </row>
    <row r="3" spans="1:11" x14ac:dyDescent="0.3">
      <c r="A3" t="s">
        <v>133</v>
      </c>
      <c r="B3" t="s">
        <v>231</v>
      </c>
      <c r="C3" s="5">
        <f>(1.005^(100/250)-1)*100</f>
        <v>0.19970079740931901</v>
      </c>
      <c r="D3" s="4">
        <v>0</v>
      </c>
      <c r="E3" s="4">
        <v>0</v>
      </c>
      <c r="F3" s="4">
        <v>0</v>
      </c>
      <c r="G3" s="4">
        <v>0</v>
      </c>
      <c r="H3" s="4">
        <v>0</v>
      </c>
      <c r="I3" s="4">
        <v>0</v>
      </c>
      <c r="K3" s="4" t="s">
        <v>26</v>
      </c>
    </row>
    <row r="4" spans="1:11" x14ac:dyDescent="0.3">
      <c r="K4" s="3" t="s">
        <v>13</v>
      </c>
    </row>
    <row r="5" spans="1:11" x14ac:dyDescent="0.3">
      <c r="K5" s="12" t="s">
        <v>38</v>
      </c>
    </row>
    <row r="6" spans="1:11" x14ac:dyDescent="0.3">
      <c r="A6" s="33" t="s">
        <v>266</v>
      </c>
    </row>
  </sheetData>
  <hyperlinks>
    <hyperlink ref="A6" location="Verzeichnis!A1" display="Verzeichnis" xr:uid="{EE00DFAD-4D19-4D7F-8341-5FFD9CDBF57F}"/>
  </hyperlinks>
  <pageMargins left="0.7" right="0.7" top="0.78740157499999996" bottom="0.78740157499999996"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9D273-B7EF-4DBA-AB70-8EB499D5129D}">
  <sheetPr>
    <tabColor theme="7"/>
  </sheetPr>
  <dimension ref="A1:K8"/>
  <sheetViews>
    <sheetView workbookViewId="0">
      <selection activeCell="F8" sqref="F8"/>
    </sheetView>
  </sheetViews>
  <sheetFormatPr baseColWidth="10" defaultRowHeight="14.4" x14ac:dyDescent="0.3"/>
  <cols>
    <col min="3" max="3" width="11.88671875" bestFit="1" customWidth="1"/>
    <col min="4" max="4" width="16.109375" bestFit="1" customWidth="1"/>
    <col min="5" max="5" width="16.44140625" bestFit="1" customWidth="1"/>
    <col min="6" max="6" width="13.109375" bestFit="1" customWidth="1"/>
    <col min="7" max="7" width="13.109375" customWidth="1"/>
    <col min="8" max="8" width="12.109375" bestFit="1" customWidth="1"/>
    <col min="9" max="9" width="22.88671875" bestFit="1" customWidth="1"/>
    <col min="10" max="10" width="18.5546875" bestFit="1" customWidth="1"/>
    <col min="11" max="11" width="18.44140625" bestFit="1" customWidth="1"/>
  </cols>
  <sheetData>
    <row r="1" spans="1:11" x14ac:dyDescent="0.3">
      <c r="C1" t="s">
        <v>174</v>
      </c>
      <c r="D1" t="s">
        <v>185</v>
      </c>
      <c r="E1" t="s">
        <v>186</v>
      </c>
      <c r="F1" t="s">
        <v>313</v>
      </c>
      <c r="G1" t="s">
        <v>364</v>
      </c>
      <c r="H1" t="s">
        <v>312</v>
      </c>
      <c r="I1" t="s">
        <v>319</v>
      </c>
      <c r="J1" t="s">
        <v>190</v>
      </c>
      <c r="K1" t="s">
        <v>191</v>
      </c>
    </row>
    <row r="2" spans="1:11" x14ac:dyDescent="0.3">
      <c r="B2" t="s">
        <v>76</v>
      </c>
      <c r="C2">
        <f>Umrechnungsparameter!C4</f>
        <v>8</v>
      </c>
      <c r="D2">
        <f>Umrechnungsparameter!C4</f>
        <v>8</v>
      </c>
      <c r="E2">
        <f>Umrechnungsparameter!C4</f>
        <v>8</v>
      </c>
      <c r="F2">
        <f>Umrechnungsparameter!C5</f>
        <v>6.1884669479606194</v>
      </c>
      <c r="G2">
        <f>Umrechnungsparameter!C8*5</f>
        <v>3.3639143730886851</v>
      </c>
      <c r="H2">
        <v>16.13</v>
      </c>
      <c r="I2">
        <v>44.7</v>
      </c>
      <c r="J2">
        <v>5.2</v>
      </c>
      <c r="K2">
        <v>16</v>
      </c>
    </row>
    <row r="3" spans="1:11" ht="159.6" customHeight="1" x14ac:dyDescent="0.3">
      <c r="B3" t="s">
        <v>187</v>
      </c>
      <c r="C3" s="20" t="s">
        <v>338</v>
      </c>
      <c r="D3" s="20" t="s">
        <v>338</v>
      </c>
      <c r="E3" s="20" t="s">
        <v>338</v>
      </c>
      <c r="F3" s="20" t="s">
        <v>339</v>
      </c>
      <c r="G3" s="20" t="s">
        <v>367</v>
      </c>
      <c r="H3" s="20" t="s">
        <v>188</v>
      </c>
      <c r="I3" s="20" t="s">
        <v>203</v>
      </c>
      <c r="J3" s="20" t="s">
        <v>203</v>
      </c>
      <c r="K3" s="20" t="s">
        <v>203</v>
      </c>
    </row>
    <row r="8" spans="1:11" x14ac:dyDescent="0.3">
      <c r="A8" s="33" t="s">
        <v>266</v>
      </c>
    </row>
  </sheetData>
  <hyperlinks>
    <hyperlink ref="A8" location="Verzeichnis!A1" display="Verzeichnis" xr:uid="{171124B1-1C4C-424F-9241-727320B241DC}"/>
  </hyperlink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20</vt:i4>
      </vt:variant>
    </vt:vector>
  </HeadingPairs>
  <TitlesOfParts>
    <vt:vector size="20" baseType="lpstr">
      <vt:lpstr>Verzeichnis</vt:lpstr>
      <vt:lpstr>Übersicht</vt:lpstr>
      <vt:lpstr>H2 Produktion_Input</vt:lpstr>
      <vt:lpstr>H2 Produktion_Input_Wirkung</vt:lpstr>
      <vt:lpstr>H2 Produktion_Output</vt:lpstr>
      <vt:lpstr>Umwandlungen_Input</vt:lpstr>
      <vt:lpstr>Umwandlungen_Input_Wirkung</vt:lpstr>
      <vt:lpstr>Transport_Output_Wirkung</vt:lpstr>
      <vt:lpstr>Transport_Korrekturfaktoren</vt:lpstr>
      <vt:lpstr>OpenLCA Ergebnisse</vt:lpstr>
      <vt:lpstr>Umrechnungsparameter</vt:lpstr>
      <vt:lpstr>Entfernungen</vt:lpstr>
      <vt:lpstr>Preise</vt:lpstr>
      <vt:lpstr>Strommix_Regionen</vt:lpstr>
      <vt:lpstr>GWP_Strom</vt:lpstr>
      <vt:lpstr>GWP_Strom_ergänzung</vt:lpstr>
      <vt:lpstr>Volllaststunden</vt:lpstr>
      <vt:lpstr>GWP_Rohstoffe_Regionen</vt:lpstr>
      <vt:lpstr>Auslastung_Wirkungsgrad</vt:lpstr>
      <vt:lpstr>Charakterisierungsmatrix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Wohlleben</dc:creator>
  <cp:lastModifiedBy>David Wohlleben</cp:lastModifiedBy>
  <dcterms:created xsi:type="dcterms:W3CDTF">2022-06-22T09:05:00Z</dcterms:created>
  <dcterms:modified xsi:type="dcterms:W3CDTF">2023-02-22T11:32:57Z</dcterms:modified>
</cp:coreProperties>
</file>