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fda.sharepoint.com/sites/CDER-OSP-OPSA-ADSS-Staff/Shared Documents/Projects/Opioids/FINAL Opioid Files for Public Access/"/>
    </mc:Choice>
  </mc:AlternateContent>
  <xr:revisionPtr revIDLastSave="1535" documentId="11_E9ACA7AD4B4555BE3FA1A074747EA973BB90250D" xr6:coauthVersionLast="46" xr6:coauthVersionMax="47" xr10:uidLastSave="{4A8D1E19-606E-4655-AB1A-8BB0A897804A}"/>
  <bookViews>
    <workbookView xWindow="-28920" yWindow="-120" windowWidth="29040" windowHeight="15840" tabRatio="974" xr2:uid="{00000000-000D-0000-FFFF-FFFF00000000}"/>
  </bookViews>
  <sheets>
    <sheet name="Heroin and Rx Price" sheetId="27" r:id="rId1"/>
    <sheet name="Buprenorphine IQVIA" sheetId="8" state="hidden" r:id="rId2"/>
    <sheet name="Monthly TPT Bup" sheetId="30" r:id="rId3"/>
    <sheet name="Buprenorphine Capacity" sheetId="9" r:id="rId4"/>
    <sheet name="Methadone NSSATS" sheetId="23" r:id="rId5"/>
    <sheet name="Vivitrol IQVIA" sheetId="22" r:id="rId6"/>
    <sheet name="Nx kits HR + IQVIA" sheetId="25" r:id="rId7"/>
    <sheet name="Fentanyl NFLIS" sheetId="24" r:id="rId8"/>
    <sheet name="Monthly TPT Opioids" sheetId="31" r:id="rId9"/>
    <sheet name="Opioid Rx Data IQVIA SH" sheetId="2" r:id="rId10"/>
    <sheet name="Opioid Fatal ODs NVSS" sheetId="3" r:id="rId11"/>
    <sheet name="Initiation Data" sheetId="18" r:id="rId12"/>
    <sheet name="NSDUH OUD HUD estimates" sheetId="19" r:id="rId13"/>
    <sheet name="RAND Adjusted Estimates" sheetId="20" r:id="rId14"/>
    <sheet name="NDHU to HUD" sheetId="33" state="hidden" r:id="rId15"/>
    <sheet name="Projections" sheetId="34" r:id="rId16"/>
  </sheets>
  <externalReferences>
    <externalReference r:id="rId17"/>
  </externalReferences>
  <definedNames>
    <definedName name="_xlnm._FilterDatabase" localSheetId="6" hidden="1">'[1]LEO Nx estimates'!$A$30:$U$35</definedName>
    <definedName name="test" localSheetId="15">#REF!</definedName>
    <definedName name="tes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60" i="34" l="1"/>
  <c r="W60" i="34"/>
  <c r="W53" i="34"/>
  <c r="V53" i="34"/>
  <c r="U53" i="34"/>
  <c r="T53" i="34"/>
  <c r="S53" i="34"/>
  <c r="R53" i="34"/>
  <c r="Q53" i="34"/>
  <c r="P53" i="34"/>
  <c r="P60" i="34" s="1"/>
  <c r="O53" i="34"/>
  <c r="O60" i="34" s="1"/>
  <c r="N53" i="34"/>
  <c r="M53" i="34"/>
  <c r="M60" i="34" s="1"/>
  <c r="L53" i="34"/>
  <c r="K53" i="34"/>
  <c r="J53" i="34"/>
  <c r="I53" i="34"/>
  <c r="H53" i="34"/>
  <c r="H60" i="34" s="1"/>
  <c r="G53" i="34"/>
  <c r="F53" i="34"/>
  <c r="E53" i="34"/>
  <c r="D53" i="34"/>
  <c r="C53" i="34"/>
  <c r="B53" i="34"/>
  <c r="B60" i="34" s="1"/>
  <c r="W46" i="34"/>
  <c r="V46" i="34"/>
  <c r="U46" i="34"/>
  <c r="T46" i="34"/>
  <c r="S46" i="34"/>
  <c r="R46" i="34"/>
  <c r="Q46" i="34"/>
  <c r="P46" i="34"/>
  <c r="O46" i="34"/>
  <c r="N46" i="34"/>
  <c r="M46" i="34"/>
  <c r="L46" i="34"/>
  <c r="K46" i="34"/>
  <c r="J46" i="34"/>
  <c r="I46" i="34"/>
  <c r="H46" i="34"/>
  <c r="G46" i="34"/>
  <c r="F46" i="34"/>
  <c r="E46" i="34"/>
  <c r="D46" i="34"/>
  <c r="C46" i="34"/>
  <c r="B46" i="34"/>
  <c r="W38" i="34"/>
  <c r="V38" i="34"/>
  <c r="U38" i="34"/>
  <c r="T38" i="34"/>
  <c r="S38" i="34"/>
  <c r="R38" i="34"/>
  <c r="Q38" i="34"/>
  <c r="P38" i="34"/>
  <c r="O38" i="34"/>
  <c r="N38" i="34"/>
  <c r="M38" i="34"/>
  <c r="L38" i="34"/>
  <c r="K38" i="34"/>
  <c r="J38" i="34"/>
  <c r="I38" i="34"/>
  <c r="H38" i="34"/>
  <c r="G38" i="34"/>
  <c r="F38" i="34"/>
  <c r="E38" i="34"/>
  <c r="D38" i="34"/>
  <c r="C38" i="34"/>
  <c r="B38" i="34"/>
  <c r="A38" i="34"/>
  <c r="W29" i="34"/>
  <c r="V29" i="34"/>
  <c r="U29" i="34"/>
  <c r="T29" i="34"/>
  <c r="S29" i="34"/>
  <c r="R29" i="34"/>
  <c r="Q29" i="34"/>
  <c r="P29" i="34"/>
  <c r="O29" i="34"/>
  <c r="N29" i="34"/>
  <c r="M29" i="34"/>
  <c r="L29" i="34"/>
  <c r="K29" i="34"/>
  <c r="J29" i="34"/>
  <c r="I29" i="34"/>
  <c r="H29" i="34"/>
  <c r="G29" i="34"/>
  <c r="F29" i="34"/>
  <c r="E29" i="34"/>
  <c r="D29" i="34"/>
  <c r="C29" i="34"/>
  <c r="B29" i="34"/>
  <c r="A29" i="34"/>
  <c r="V21" i="34"/>
  <c r="U21" i="34"/>
  <c r="T21" i="34"/>
  <c r="S21" i="34"/>
  <c r="R21" i="34"/>
  <c r="Q21" i="34"/>
  <c r="P21" i="34"/>
  <c r="O21" i="34"/>
  <c r="N21" i="34"/>
  <c r="M21" i="34"/>
  <c r="L21" i="34"/>
  <c r="K21" i="34"/>
  <c r="J21" i="34"/>
  <c r="I21" i="34"/>
  <c r="H21" i="34"/>
  <c r="G21" i="34"/>
  <c r="F21" i="34"/>
  <c r="E21" i="34"/>
  <c r="D21" i="34"/>
  <c r="C21" i="34"/>
  <c r="B21" i="34"/>
  <c r="A21" i="34"/>
  <c r="V13" i="34"/>
  <c r="U13" i="34"/>
  <c r="T13" i="34"/>
  <c r="S13" i="34"/>
  <c r="R13" i="34"/>
  <c r="Q13" i="34"/>
  <c r="P13" i="34"/>
  <c r="O13" i="34"/>
  <c r="N13" i="34"/>
  <c r="M13" i="34"/>
  <c r="L13" i="34"/>
  <c r="K13" i="34"/>
  <c r="J13" i="34"/>
  <c r="I13" i="34"/>
  <c r="H13" i="34"/>
  <c r="G13" i="34"/>
  <c r="F13" i="34"/>
  <c r="E13" i="34"/>
  <c r="D13" i="34"/>
  <c r="C13" i="34"/>
  <c r="B13" i="34"/>
  <c r="X6" i="34"/>
  <c r="W6" i="34"/>
  <c r="V6" i="34"/>
  <c r="U6" i="34"/>
  <c r="T6" i="34"/>
  <c r="S6" i="34"/>
  <c r="R6" i="34"/>
  <c r="Q6" i="34"/>
  <c r="P6" i="34"/>
  <c r="O6" i="34"/>
  <c r="N6" i="34"/>
  <c r="M6" i="34"/>
  <c r="L6" i="34"/>
  <c r="K6" i="34"/>
  <c r="J6" i="34"/>
  <c r="I6" i="34"/>
  <c r="H6" i="34"/>
  <c r="G6" i="34"/>
  <c r="F6" i="34"/>
  <c r="E6" i="34"/>
  <c r="D6" i="34"/>
  <c r="C6" i="34"/>
  <c r="B6" i="34"/>
  <c r="A6" i="34"/>
  <c r="X82" i="34"/>
  <c r="Y82" i="34" s="1"/>
  <c r="X76" i="34"/>
  <c r="Y76" i="34" s="1"/>
  <c r="X70" i="34"/>
  <c r="Y70" i="34" s="1"/>
  <c r="X67" i="34"/>
  <c r="X62" i="34"/>
  <c r="X61" i="34"/>
  <c r="AI60" i="34"/>
  <c r="AH60" i="34"/>
  <c r="AG60" i="34"/>
  <c r="AF60" i="34"/>
  <c r="AE60" i="34"/>
  <c r="AD60" i="34"/>
  <c r="AC60" i="34"/>
  <c r="AB60" i="34"/>
  <c r="AA60" i="34"/>
  <c r="Z60" i="34"/>
  <c r="V60" i="34"/>
  <c r="N60" i="34"/>
  <c r="G60" i="34"/>
  <c r="F60" i="34"/>
  <c r="AH59" i="34"/>
  <c r="AG59" i="34"/>
  <c r="AF59" i="34"/>
  <c r="AE59" i="34"/>
  <c r="AD59" i="34"/>
  <c r="AC59" i="34"/>
  <c r="AB59" i="34"/>
  <c r="AA59" i="34"/>
  <c r="Z59" i="34"/>
  <c r="Y59" i="34"/>
  <c r="X59" i="34"/>
  <c r="W59" i="34"/>
  <c r="Y63" i="34" s="1"/>
  <c r="Y60" i="34" s="1"/>
  <c r="V59" i="34"/>
  <c r="U59" i="34"/>
  <c r="T59" i="34"/>
  <c r="S59" i="34"/>
  <c r="R59" i="34"/>
  <c r="Q59" i="34"/>
  <c r="P59" i="34"/>
  <c r="O59" i="34"/>
  <c r="N59" i="34"/>
  <c r="M59" i="34"/>
  <c r="L59" i="34"/>
  <c r="K59" i="34"/>
  <c r="J59" i="34"/>
  <c r="I59" i="34"/>
  <c r="H59" i="34"/>
  <c r="G59" i="34"/>
  <c r="F59" i="34"/>
  <c r="E59" i="34"/>
  <c r="D59" i="34"/>
  <c r="C59" i="34"/>
  <c r="B59" i="34"/>
  <c r="X56" i="34"/>
  <c r="X53" i="34" s="1"/>
  <c r="AI53" i="34"/>
  <c r="AH53" i="34"/>
  <c r="AG53" i="34"/>
  <c r="AF53" i="34"/>
  <c r="AE53" i="34"/>
  <c r="AD53" i="34"/>
  <c r="AC53" i="34"/>
  <c r="AB53" i="34"/>
  <c r="AA53" i="34"/>
  <c r="Z53" i="34"/>
  <c r="Y53" i="34"/>
  <c r="U60" i="34"/>
  <c r="T60" i="34"/>
  <c r="S60" i="34"/>
  <c r="R60" i="34"/>
  <c r="Q60" i="34"/>
  <c r="L60" i="34"/>
  <c r="K60" i="34"/>
  <c r="J60" i="34"/>
  <c r="I60" i="34"/>
  <c r="E60" i="34"/>
  <c r="D60" i="34"/>
  <c r="C60" i="34"/>
  <c r="X49" i="34"/>
  <c r="AI46" i="34"/>
  <c r="AH46" i="34"/>
  <c r="AG46" i="34"/>
  <c r="AF46" i="34"/>
  <c r="AE46" i="34"/>
  <c r="AD46" i="34"/>
  <c r="AC46" i="34"/>
  <c r="AB46" i="34"/>
  <c r="AA46" i="34"/>
  <c r="Z46" i="34"/>
  <c r="Y46" i="34"/>
  <c r="X46" i="34"/>
  <c r="AI38" i="34"/>
  <c r="AH38" i="34"/>
  <c r="AG38" i="34"/>
  <c r="AF38" i="34"/>
  <c r="AE38" i="34"/>
  <c r="AD38" i="34"/>
  <c r="AC38" i="34"/>
  <c r="AB38" i="34"/>
  <c r="AA38" i="34"/>
  <c r="Z38" i="34"/>
  <c r="Y38" i="34"/>
  <c r="X38" i="34"/>
  <c r="X32" i="34"/>
  <c r="Y32" i="34" s="1"/>
  <c r="X29" i="34"/>
  <c r="W24" i="34"/>
  <c r="W21" i="34" s="1"/>
  <c r="AI21" i="34"/>
  <c r="Z25" i="34" s="1"/>
  <c r="AH21" i="34"/>
  <c r="AG21" i="34"/>
  <c r="AF21" i="34"/>
  <c r="AE21" i="34"/>
  <c r="AD21" i="34"/>
  <c r="AC21" i="34"/>
  <c r="AB21" i="34"/>
  <c r="AA21" i="34"/>
  <c r="Z21" i="34"/>
  <c r="Y21" i="34"/>
  <c r="X21" i="34"/>
  <c r="W16" i="34"/>
  <c r="AI13" i="34"/>
  <c r="AH13" i="34"/>
  <c r="Z17" i="34" s="1"/>
  <c r="AG13" i="34"/>
  <c r="AF13" i="34"/>
  <c r="AE13" i="34"/>
  <c r="AD13" i="34"/>
  <c r="AC13" i="34"/>
  <c r="AB13" i="34"/>
  <c r="AA13" i="34"/>
  <c r="Z13" i="34"/>
  <c r="Y13" i="34"/>
  <c r="X13" i="34"/>
  <c r="W13" i="34"/>
  <c r="AI6" i="34"/>
  <c r="AH6" i="34"/>
  <c r="AG6" i="34"/>
  <c r="AF6" i="34"/>
  <c r="AE6" i="34"/>
  <c r="AD6" i="34"/>
  <c r="AC6" i="34"/>
  <c r="AB6" i="34"/>
  <c r="AA6" i="34"/>
  <c r="Z6" i="34"/>
  <c r="Y6" i="34"/>
  <c r="Y67" i="34" l="1"/>
  <c r="Z70" i="34"/>
  <c r="Z76" i="34"/>
  <c r="Y73" i="34"/>
  <c r="Y29" i="34"/>
  <c r="Z32" i="34"/>
  <c r="Z82" i="34"/>
  <c r="Y79" i="34"/>
  <c r="X79" i="34"/>
  <c r="X73" i="34"/>
  <c r="AA82" i="34" l="1"/>
  <c r="Z79" i="34"/>
  <c r="AA76" i="34"/>
  <c r="Z73" i="34"/>
  <c r="Z29" i="34"/>
  <c r="AA32" i="34"/>
  <c r="Z67" i="34"/>
  <c r="AA70" i="34"/>
  <c r="AA29" i="34" l="1"/>
  <c r="AB32" i="34"/>
  <c r="AA67" i="34"/>
  <c r="AB70" i="34"/>
  <c r="AA73" i="34"/>
  <c r="AB76" i="34"/>
  <c r="AA79" i="34"/>
  <c r="AB82" i="34"/>
  <c r="AB67" i="34" l="1"/>
  <c r="AC70" i="34"/>
  <c r="AB73" i="34"/>
  <c r="AC76" i="34"/>
  <c r="AB79" i="34"/>
  <c r="AC82" i="34"/>
  <c r="AC32" i="34"/>
  <c r="AB29" i="34"/>
  <c r="AD32" i="34" l="1"/>
  <c r="AC29" i="34"/>
  <c r="AC73" i="34"/>
  <c r="AD76" i="34"/>
  <c r="AC79" i="34"/>
  <c r="AD82" i="34"/>
  <c r="AC67" i="34"/>
  <c r="AD70" i="34"/>
  <c r="AE70" i="34" l="1"/>
  <c r="AD67" i="34"/>
  <c r="AD79" i="34"/>
  <c r="AE82" i="34"/>
  <c r="AD73" i="34"/>
  <c r="AE76" i="34"/>
  <c r="AE32" i="34"/>
  <c r="AD29" i="34"/>
  <c r="AE29" i="34" l="1"/>
  <c r="AF32" i="34"/>
  <c r="AF76" i="34"/>
  <c r="AE73" i="34"/>
  <c r="AE79" i="34"/>
  <c r="AF82" i="34"/>
  <c r="AF70" i="34"/>
  <c r="AE67" i="34"/>
  <c r="AG70" i="34" l="1"/>
  <c r="AF67" i="34"/>
  <c r="AG82" i="34"/>
  <c r="AF79" i="34"/>
  <c r="AG76" i="34"/>
  <c r="AF73" i="34"/>
  <c r="AF29" i="34"/>
  <c r="AG32" i="34"/>
  <c r="AG29" i="34" l="1"/>
  <c r="AH32" i="34"/>
  <c r="AH82" i="34"/>
  <c r="AG79" i="34"/>
  <c r="AG67" i="34"/>
  <c r="AH70" i="34"/>
  <c r="AH76" i="34"/>
  <c r="AG73" i="34"/>
  <c r="AH73" i="34" l="1"/>
  <c r="AI76" i="34"/>
  <c r="AI73" i="34" s="1"/>
  <c r="AH67" i="34"/>
  <c r="AI70" i="34"/>
  <c r="AI67" i="34" s="1"/>
  <c r="AI82" i="34"/>
  <c r="AI79" i="34" s="1"/>
  <c r="AH79" i="34"/>
  <c r="AH29" i="34"/>
  <c r="AI32" i="34"/>
  <c r="AI29" i="34" s="1"/>
  <c r="MH13" i="31" l="1"/>
  <c r="LZ13" i="31"/>
  <c r="LR13" i="31"/>
  <c r="LJ13" i="31"/>
  <c r="LB13" i="31"/>
  <c r="KT13" i="31"/>
  <c r="KL13" i="31"/>
  <c r="KD13" i="31"/>
  <c r="JV13" i="31"/>
  <c r="JN13" i="31"/>
  <c r="JF13" i="31"/>
  <c r="IX13" i="31"/>
  <c r="IP13" i="31"/>
  <c r="IH13" i="31"/>
  <c r="HZ13" i="31"/>
  <c r="HR13" i="31"/>
  <c r="HJ13" i="31"/>
  <c r="HB13" i="31"/>
  <c r="GT13" i="31"/>
  <c r="GL13" i="31"/>
  <c r="GD13" i="31"/>
  <c r="FV13" i="31"/>
  <c r="FN13" i="31"/>
  <c r="FF13" i="31"/>
  <c r="EX13" i="31"/>
  <c r="EP13" i="31"/>
  <c r="EH13" i="31"/>
  <c r="DZ13" i="31"/>
  <c r="DR13" i="31"/>
  <c r="DJ13" i="31"/>
  <c r="DB13" i="31"/>
  <c r="CT13" i="31"/>
  <c r="CL13" i="31"/>
  <c r="CD13" i="31"/>
  <c r="BV13" i="31"/>
  <c r="BN13" i="31"/>
  <c r="BF13" i="31"/>
  <c r="AX13" i="31"/>
  <c r="AP13" i="31"/>
  <c r="AH13" i="31"/>
  <c r="Z13" i="31"/>
  <c r="R13" i="31"/>
  <c r="J13" i="31"/>
  <c r="B13" i="31"/>
  <c r="MP9" i="31"/>
  <c r="MO9" i="31"/>
  <c r="MN9" i="31"/>
  <c r="MM9" i="31"/>
  <c r="ML9" i="31"/>
  <c r="MK9" i="31"/>
  <c r="MJ9" i="31"/>
  <c r="MI9" i="31"/>
  <c r="MI13" i="31" s="1"/>
  <c r="MH9" i="31"/>
  <c r="MG9" i="31"/>
  <c r="MF9" i="31"/>
  <c r="ME9" i="31"/>
  <c r="MD9" i="31"/>
  <c r="MC9" i="31"/>
  <c r="MB9" i="31"/>
  <c r="MA9" i="31"/>
  <c r="MA13" i="31" s="1"/>
  <c r="LZ9" i="31"/>
  <c r="LY9" i="31"/>
  <c r="LX9" i="31"/>
  <c r="LW9" i="31"/>
  <c r="LV9" i="31"/>
  <c r="LU9" i="31"/>
  <c r="LT9" i="31"/>
  <c r="LS9" i="31"/>
  <c r="LS13" i="31" s="1"/>
  <c r="LR9" i="31"/>
  <c r="LQ9" i="31"/>
  <c r="LP9" i="31"/>
  <c r="LO9" i="31"/>
  <c r="LN9" i="31"/>
  <c r="LM9" i="31"/>
  <c r="LL9" i="31"/>
  <c r="LK9" i="31"/>
  <c r="LK13" i="31" s="1"/>
  <c r="LJ9" i="31"/>
  <c r="LI9" i="31"/>
  <c r="LH9" i="31"/>
  <c r="LG9" i="31"/>
  <c r="LF9" i="31"/>
  <c r="LE9" i="31"/>
  <c r="LD9" i="31"/>
  <c r="LC9" i="31"/>
  <c r="LC13" i="31" s="1"/>
  <c r="LB9" i="31"/>
  <c r="LA9" i="31"/>
  <c r="KZ9" i="31"/>
  <c r="KY9" i="31"/>
  <c r="KX9" i="31"/>
  <c r="KW9" i="31"/>
  <c r="KV9" i="31"/>
  <c r="KU9" i="31"/>
  <c r="KU13" i="31" s="1"/>
  <c r="KT9" i="31"/>
  <c r="KS9" i="31"/>
  <c r="KR9" i="31"/>
  <c r="KQ9" i="31"/>
  <c r="KP9" i="31"/>
  <c r="KO9" i="31"/>
  <c r="KN9" i="31"/>
  <c r="KM9" i="31"/>
  <c r="KM13" i="31" s="1"/>
  <c r="KL9" i="31"/>
  <c r="KK9" i="31"/>
  <c r="KJ9" i="31"/>
  <c r="KI9" i="31"/>
  <c r="KH9" i="31"/>
  <c r="KG9" i="31"/>
  <c r="KF9" i="31"/>
  <c r="KE9" i="31"/>
  <c r="KE13" i="31" s="1"/>
  <c r="KD9" i="31"/>
  <c r="KC9" i="31"/>
  <c r="KB9" i="31"/>
  <c r="KA9" i="31"/>
  <c r="JZ9" i="31"/>
  <c r="JY9" i="31"/>
  <c r="JX9" i="31"/>
  <c r="JW9" i="31"/>
  <c r="JW13" i="31" s="1"/>
  <c r="JV9" i="31"/>
  <c r="JU9" i="31"/>
  <c r="JT9" i="31"/>
  <c r="JS9" i="31"/>
  <c r="JR9" i="31"/>
  <c r="JQ9" i="31"/>
  <c r="JP9" i="31"/>
  <c r="JO9" i="31"/>
  <c r="JO13" i="31" s="1"/>
  <c r="JN9" i="31"/>
  <c r="JM9" i="31"/>
  <c r="JL9" i="31"/>
  <c r="JK9" i="31"/>
  <c r="JJ9" i="31"/>
  <c r="JI9" i="31"/>
  <c r="JH9" i="31"/>
  <c r="JG9" i="31"/>
  <c r="JG13" i="31" s="1"/>
  <c r="JF9" i="31"/>
  <c r="JE9" i="31"/>
  <c r="JD9" i="31"/>
  <c r="JC9" i="31"/>
  <c r="JB9" i="31"/>
  <c r="JA9" i="31"/>
  <c r="IZ9" i="31"/>
  <c r="IY9" i="31"/>
  <c r="IY13" i="31" s="1"/>
  <c r="IX9" i="31"/>
  <c r="IW9" i="31"/>
  <c r="IV9" i="31"/>
  <c r="IU9" i="31"/>
  <c r="IT9" i="31"/>
  <c r="IS9" i="31"/>
  <c r="IR9" i="31"/>
  <c r="IQ9" i="31"/>
  <c r="IQ13" i="31" s="1"/>
  <c r="IP9" i="31"/>
  <c r="IO9" i="31"/>
  <c r="IN9" i="31"/>
  <c r="IM9" i="31"/>
  <c r="IL9" i="31"/>
  <c r="IK9" i="31"/>
  <c r="IJ9" i="31"/>
  <c r="II9" i="31"/>
  <c r="II13" i="31" s="1"/>
  <c r="IH9" i="31"/>
  <c r="IG9" i="31"/>
  <c r="IF9" i="31"/>
  <c r="IE9" i="31"/>
  <c r="ID9" i="31"/>
  <c r="IC9" i="31"/>
  <c r="IB9" i="31"/>
  <c r="IA9" i="31"/>
  <c r="IA13" i="31" s="1"/>
  <c r="HZ9" i="31"/>
  <c r="HY9" i="31"/>
  <c r="HX9" i="31"/>
  <c r="HW9" i="31"/>
  <c r="HV9" i="31"/>
  <c r="HU9" i="31"/>
  <c r="HT9" i="31"/>
  <c r="HS9" i="31"/>
  <c r="HS13" i="31" s="1"/>
  <c r="HR9" i="31"/>
  <c r="HQ9" i="31"/>
  <c r="HP9" i="31"/>
  <c r="HO9" i="31"/>
  <c r="HN9" i="31"/>
  <c r="HM9" i="31"/>
  <c r="HL9" i="31"/>
  <c r="HK9" i="31"/>
  <c r="HK13" i="31" s="1"/>
  <c r="HJ9" i="31"/>
  <c r="HI9" i="31"/>
  <c r="HH9" i="31"/>
  <c r="HG9" i="31"/>
  <c r="HF9" i="31"/>
  <c r="HE9" i="31"/>
  <c r="HD9" i="31"/>
  <c r="HC9" i="31"/>
  <c r="HC13" i="31" s="1"/>
  <c r="HB9" i="31"/>
  <c r="HA9" i="31"/>
  <c r="GZ9" i="31"/>
  <c r="GY9" i="31"/>
  <c r="GX9" i="31"/>
  <c r="GW9" i="31"/>
  <c r="GV9" i="31"/>
  <c r="GU9" i="31"/>
  <c r="GU13" i="31" s="1"/>
  <c r="GT9" i="31"/>
  <c r="GS9" i="31"/>
  <c r="GR9" i="31"/>
  <c r="GQ9" i="31"/>
  <c r="GP9" i="31"/>
  <c r="GO9" i="31"/>
  <c r="GN9" i="31"/>
  <c r="GM9" i="31"/>
  <c r="GM13" i="31" s="1"/>
  <c r="GL9" i="31"/>
  <c r="GK9" i="31"/>
  <c r="GJ9" i="31"/>
  <c r="GI9" i="31"/>
  <c r="GH9" i="31"/>
  <c r="GG9" i="31"/>
  <c r="GF9" i="31"/>
  <c r="GE9" i="31"/>
  <c r="GE13" i="31" s="1"/>
  <c r="GD9" i="31"/>
  <c r="GC9" i="31"/>
  <c r="GB9" i="31"/>
  <c r="GA9" i="31"/>
  <c r="FZ9" i="31"/>
  <c r="FY9" i="31"/>
  <c r="FX9" i="31"/>
  <c r="FW9" i="31"/>
  <c r="FW13" i="31" s="1"/>
  <c r="FV9" i="31"/>
  <c r="FU9" i="31"/>
  <c r="FT9" i="31"/>
  <c r="FS9" i="31"/>
  <c r="FR9" i="31"/>
  <c r="FQ9" i="31"/>
  <c r="FP9" i="31"/>
  <c r="FO9" i="31"/>
  <c r="FO13" i="31" s="1"/>
  <c r="FN9" i="31"/>
  <c r="FM9" i="31"/>
  <c r="FL9" i="31"/>
  <c r="FK9" i="31"/>
  <c r="FJ9" i="31"/>
  <c r="FI9" i="31"/>
  <c r="FH9" i="31"/>
  <c r="FG9" i="31"/>
  <c r="FG13" i="31" s="1"/>
  <c r="FF9" i="31"/>
  <c r="FE9" i="31"/>
  <c r="FD9" i="31"/>
  <c r="FC9" i="31"/>
  <c r="FB9" i="31"/>
  <c r="FA9" i="31"/>
  <c r="EZ9" i="31"/>
  <c r="EY9" i="31"/>
  <c r="EY13" i="31" s="1"/>
  <c r="EX9" i="31"/>
  <c r="EW9" i="31"/>
  <c r="EV9" i="31"/>
  <c r="EU9" i="31"/>
  <c r="ET9" i="31"/>
  <c r="ES9" i="31"/>
  <c r="ER9" i="31"/>
  <c r="EQ9" i="31"/>
  <c r="EQ13" i="31" s="1"/>
  <c r="EP9" i="31"/>
  <c r="EO9" i="31"/>
  <c r="EN9" i="31"/>
  <c r="EM9" i="31"/>
  <c r="EL9" i="31"/>
  <c r="EK9" i="31"/>
  <c r="EJ9" i="31"/>
  <c r="EI9" i="31"/>
  <c r="EI13" i="31" s="1"/>
  <c r="EH9" i="31"/>
  <c r="EG9" i="31"/>
  <c r="EF9" i="31"/>
  <c r="EE9" i="31"/>
  <c r="ED9" i="31"/>
  <c r="EC9" i="31"/>
  <c r="EB9" i="31"/>
  <c r="EA9" i="31"/>
  <c r="EA13" i="31" s="1"/>
  <c r="DZ9" i="31"/>
  <c r="DY9" i="31"/>
  <c r="DX9" i="31"/>
  <c r="DW9" i="31"/>
  <c r="DV9" i="31"/>
  <c r="DU9" i="31"/>
  <c r="DT9" i="31"/>
  <c r="DS9" i="31"/>
  <c r="DS13" i="31" s="1"/>
  <c r="DR9" i="31"/>
  <c r="DQ9" i="31"/>
  <c r="DP9" i="31"/>
  <c r="DO9" i="31"/>
  <c r="DN9" i="31"/>
  <c r="DM9" i="31"/>
  <c r="DL9" i="31"/>
  <c r="DK9" i="31"/>
  <c r="DK13" i="31" s="1"/>
  <c r="DJ9" i="31"/>
  <c r="DI9" i="31"/>
  <c r="DH9" i="31"/>
  <c r="DG9" i="31"/>
  <c r="DF9" i="31"/>
  <c r="DE9" i="31"/>
  <c r="DD9" i="31"/>
  <c r="DC9" i="31"/>
  <c r="DC13" i="31" s="1"/>
  <c r="DB9" i="31"/>
  <c r="DA9" i="31"/>
  <c r="CZ9" i="31"/>
  <c r="CY9" i="31"/>
  <c r="CX9" i="31"/>
  <c r="CW9" i="31"/>
  <c r="CV9" i="31"/>
  <c r="CU9" i="31"/>
  <c r="CU13" i="31" s="1"/>
  <c r="CT9" i="31"/>
  <c r="CS9" i="31"/>
  <c r="CR9" i="31"/>
  <c r="CQ9" i="31"/>
  <c r="CP9" i="31"/>
  <c r="CO9" i="31"/>
  <c r="CN9" i="31"/>
  <c r="CM9" i="31"/>
  <c r="CM13" i="31" s="1"/>
  <c r="CL9" i="31"/>
  <c r="CK9" i="31"/>
  <c r="CJ9" i="31"/>
  <c r="CI9" i="31"/>
  <c r="CH9" i="31"/>
  <c r="CG9" i="31"/>
  <c r="CF9" i="31"/>
  <c r="CE9" i="31"/>
  <c r="CE13" i="31" s="1"/>
  <c r="CD9" i="31"/>
  <c r="CC9" i="31"/>
  <c r="CB9" i="31"/>
  <c r="CA9" i="31"/>
  <c r="BZ9" i="31"/>
  <c r="BY9" i="31"/>
  <c r="BX9" i="31"/>
  <c r="BW9" i="31"/>
  <c r="BW13" i="31" s="1"/>
  <c r="BV9" i="31"/>
  <c r="BU9" i="31"/>
  <c r="BT9" i="31"/>
  <c r="BS9" i="31"/>
  <c r="BR9" i="31"/>
  <c r="BQ9" i="31"/>
  <c r="BP9" i="31"/>
  <c r="BO9" i="31"/>
  <c r="BO13" i="31" s="1"/>
  <c r="BN9" i="31"/>
  <c r="BM9" i="31"/>
  <c r="BL9" i="31"/>
  <c r="BK9" i="31"/>
  <c r="BJ9" i="31"/>
  <c r="BI9" i="31"/>
  <c r="BH9" i="31"/>
  <c r="BG9" i="31"/>
  <c r="BG13" i="31" s="1"/>
  <c r="BF9" i="31"/>
  <c r="BE9" i="31"/>
  <c r="BD9" i="31"/>
  <c r="BC9" i="31"/>
  <c r="BB9" i="31"/>
  <c r="BA9" i="31"/>
  <c r="AZ9" i="31"/>
  <c r="AY9" i="31"/>
  <c r="AY13" i="31" s="1"/>
  <c r="AX9" i="31"/>
  <c r="AW9" i="31"/>
  <c r="AV9" i="31"/>
  <c r="AU9" i="31"/>
  <c r="AT9" i="31"/>
  <c r="AS9" i="31"/>
  <c r="AR9" i="31"/>
  <c r="AQ9" i="31"/>
  <c r="AQ13" i="31" s="1"/>
  <c r="AP9" i="31"/>
  <c r="AO9" i="31"/>
  <c r="AN9" i="31"/>
  <c r="AM9" i="31"/>
  <c r="AL9" i="31"/>
  <c r="AK9" i="31"/>
  <c r="AJ9" i="31"/>
  <c r="AI9" i="31"/>
  <c r="AI13" i="31" s="1"/>
  <c r="AH9" i="31"/>
  <c r="AG9" i="31"/>
  <c r="AF9" i="31"/>
  <c r="AE9" i="31"/>
  <c r="AD9" i="31"/>
  <c r="AC9" i="31"/>
  <c r="AB9" i="31"/>
  <c r="AA9" i="31"/>
  <c r="AA13" i="31" s="1"/>
  <c r="Z9" i="31"/>
  <c r="Y9" i="31"/>
  <c r="X9" i="31"/>
  <c r="W9" i="31"/>
  <c r="V9" i="31"/>
  <c r="U9" i="31"/>
  <c r="T9" i="31"/>
  <c r="S9" i="31"/>
  <c r="S13" i="31" s="1"/>
  <c r="R9" i="31"/>
  <c r="Q9" i="31"/>
  <c r="P9" i="31"/>
  <c r="O9" i="31"/>
  <c r="N9" i="31"/>
  <c r="M9" i="31"/>
  <c r="L9" i="31"/>
  <c r="K9" i="31"/>
  <c r="K13" i="31" s="1"/>
  <c r="J9" i="31"/>
  <c r="I9" i="31"/>
  <c r="H9" i="31"/>
  <c r="G9" i="31"/>
  <c r="F9" i="31"/>
  <c r="E9" i="31"/>
  <c r="D9" i="31"/>
  <c r="C9" i="31"/>
  <c r="C13" i="31" s="1"/>
  <c r="B9" i="31"/>
  <c r="MP8" i="31"/>
  <c r="MO8" i="31"/>
  <c r="MN8" i="31"/>
  <c r="MN13" i="31" s="1"/>
  <c r="MM8" i="31"/>
  <c r="MM13" i="31" s="1"/>
  <c r="ML8" i="31"/>
  <c r="ML13" i="31" s="1"/>
  <c r="MK8" i="31"/>
  <c r="MK13" i="31" s="1"/>
  <c r="MJ8" i="31"/>
  <c r="MJ13" i="31" s="1"/>
  <c r="MI8" i="31"/>
  <c r="MH8" i="31"/>
  <c r="MG8" i="31"/>
  <c r="MG13" i="31" s="1"/>
  <c r="MF8" i="31"/>
  <c r="MF13" i="31" s="1"/>
  <c r="ME8" i="31"/>
  <c r="ME13" i="31" s="1"/>
  <c r="MD8" i="31"/>
  <c r="MD13" i="31" s="1"/>
  <c r="MC8" i="31"/>
  <c r="MC13" i="31" s="1"/>
  <c r="MB8" i="31"/>
  <c r="MB13" i="31" s="1"/>
  <c r="MA8" i="31"/>
  <c r="LZ8" i="31"/>
  <c r="LY8" i="31"/>
  <c r="LY13" i="31" s="1"/>
  <c r="LX8" i="31"/>
  <c r="LX13" i="31" s="1"/>
  <c r="LW8" i="31"/>
  <c r="LW13" i="31" s="1"/>
  <c r="LV8" i="31"/>
  <c r="LV13" i="31" s="1"/>
  <c r="LU8" i="31"/>
  <c r="LU13" i="31" s="1"/>
  <c r="LT8" i="31"/>
  <c r="LT13" i="31" s="1"/>
  <c r="LS8" i="31"/>
  <c r="LR8" i="31"/>
  <c r="LQ8" i="31"/>
  <c r="LQ13" i="31" s="1"/>
  <c r="LP8" i="31"/>
  <c r="LP13" i="31" s="1"/>
  <c r="LO8" i="31"/>
  <c r="LO13" i="31" s="1"/>
  <c r="LN8" i="31"/>
  <c r="LN13" i="31" s="1"/>
  <c r="LM8" i="31"/>
  <c r="LM13" i="31" s="1"/>
  <c r="LL8" i="31"/>
  <c r="LL13" i="31" s="1"/>
  <c r="LK8" i="31"/>
  <c r="LJ8" i="31"/>
  <c r="LI8" i="31"/>
  <c r="LI13" i="31" s="1"/>
  <c r="LH8" i="31"/>
  <c r="LH13" i="31" s="1"/>
  <c r="LG8" i="31"/>
  <c r="LG13" i="31" s="1"/>
  <c r="LF8" i="31"/>
  <c r="LF13" i="31" s="1"/>
  <c r="LE8" i="31"/>
  <c r="LE13" i="31" s="1"/>
  <c r="LD8" i="31"/>
  <c r="LD13" i="31" s="1"/>
  <c r="LC8" i="31"/>
  <c r="LB8" i="31"/>
  <c r="LA8" i="31"/>
  <c r="LA13" i="31" s="1"/>
  <c r="KZ8" i="31"/>
  <c r="KZ13" i="31" s="1"/>
  <c r="KY8" i="31"/>
  <c r="KY13" i="31" s="1"/>
  <c r="KX8" i="31"/>
  <c r="KX13" i="31" s="1"/>
  <c r="KW8" i="31"/>
  <c r="KW13" i="31" s="1"/>
  <c r="KV8" i="31"/>
  <c r="KV13" i="31" s="1"/>
  <c r="KU8" i="31"/>
  <c r="KT8" i="31"/>
  <c r="KS8" i="31"/>
  <c r="KS13" i="31" s="1"/>
  <c r="KR8" i="31"/>
  <c r="KR13" i="31" s="1"/>
  <c r="KQ8" i="31"/>
  <c r="KQ13" i="31" s="1"/>
  <c r="KP8" i="31"/>
  <c r="KP13" i="31" s="1"/>
  <c r="KO8" i="31"/>
  <c r="KO13" i="31" s="1"/>
  <c r="KN8" i="31"/>
  <c r="KN13" i="31" s="1"/>
  <c r="KM8" i="31"/>
  <c r="KL8" i="31"/>
  <c r="KK8" i="31"/>
  <c r="KK13" i="31" s="1"/>
  <c r="KJ8" i="31"/>
  <c r="KJ13" i="31" s="1"/>
  <c r="KI8" i="31"/>
  <c r="KI13" i="31" s="1"/>
  <c r="KH8" i="31"/>
  <c r="KH13" i="31" s="1"/>
  <c r="KG8" i="31"/>
  <c r="KG13" i="31" s="1"/>
  <c r="KF8" i="31"/>
  <c r="KF13" i="31" s="1"/>
  <c r="KE8" i="31"/>
  <c r="KD8" i="31"/>
  <c r="KC8" i="31"/>
  <c r="KC13" i="31" s="1"/>
  <c r="KB8" i="31"/>
  <c r="KB13" i="31" s="1"/>
  <c r="KA8" i="31"/>
  <c r="KA13" i="31" s="1"/>
  <c r="JZ8" i="31"/>
  <c r="JZ13" i="31" s="1"/>
  <c r="JY8" i="31"/>
  <c r="JY13" i="31" s="1"/>
  <c r="JX8" i="31"/>
  <c r="JX13" i="31" s="1"/>
  <c r="JW8" i="31"/>
  <c r="JV8" i="31"/>
  <c r="JU8" i="31"/>
  <c r="JU13" i="31" s="1"/>
  <c r="JT8" i="31"/>
  <c r="JT13" i="31" s="1"/>
  <c r="JS8" i="31"/>
  <c r="JS13" i="31" s="1"/>
  <c r="JR8" i="31"/>
  <c r="JR13" i="31" s="1"/>
  <c r="JQ8" i="31"/>
  <c r="JQ13" i="31" s="1"/>
  <c r="JP8" i="31"/>
  <c r="JP13" i="31" s="1"/>
  <c r="JO8" i="31"/>
  <c r="JN8" i="31"/>
  <c r="JM8" i="31"/>
  <c r="JM13" i="31" s="1"/>
  <c r="JL8" i="31"/>
  <c r="JL13" i="31" s="1"/>
  <c r="JK8" i="31"/>
  <c r="JK13" i="31" s="1"/>
  <c r="JJ8" i="31"/>
  <c r="JJ13" i="31" s="1"/>
  <c r="JI8" i="31"/>
  <c r="JI13" i="31" s="1"/>
  <c r="JH8" i="31"/>
  <c r="JH13" i="31" s="1"/>
  <c r="JG8" i="31"/>
  <c r="JF8" i="31"/>
  <c r="JE8" i="31"/>
  <c r="JE13" i="31" s="1"/>
  <c r="JD8" i="31"/>
  <c r="JD13" i="31" s="1"/>
  <c r="JC8" i="31"/>
  <c r="JC13" i="31" s="1"/>
  <c r="JB8" i="31"/>
  <c r="JB13" i="31" s="1"/>
  <c r="JA8" i="31"/>
  <c r="JA13" i="31" s="1"/>
  <c r="IZ8" i="31"/>
  <c r="IZ13" i="31" s="1"/>
  <c r="IY8" i="31"/>
  <c r="IX8" i="31"/>
  <c r="IW8" i="31"/>
  <c r="IW13" i="31" s="1"/>
  <c r="IV8" i="31"/>
  <c r="IV13" i="31" s="1"/>
  <c r="IU8" i="31"/>
  <c r="IU13" i="31" s="1"/>
  <c r="IT8" i="31"/>
  <c r="IT13" i="31" s="1"/>
  <c r="IS8" i="31"/>
  <c r="IS13" i="31" s="1"/>
  <c r="IR8" i="31"/>
  <c r="IR13" i="31" s="1"/>
  <c r="IQ8" i="31"/>
  <c r="IP8" i="31"/>
  <c r="IO8" i="31"/>
  <c r="IO13" i="31" s="1"/>
  <c r="IN8" i="31"/>
  <c r="IN13" i="31" s="1"/>
  <c r="IM8" i="31"/>
  <c r="IM13" i="31" s="1"/>
  <c r="IL8" i="31"/>
  <c r="IL13" i="31" s="1"/>
  <c r="IK8" i="31"/>
  <c r="IK13" i="31" s="1"/>
  <c r="IJ8" i="31"/>
  <c r="IJ13" i="31" s="1"/>
  <c r="II8" i="31"/>
  <c r="IH8" i="31"/>
  <c r="IG8" i="31"/>
  <c r="IG13" i="31" s="1"/>
  <c r="IF8" i="31"/>
  <c r="IF13" i="31" s="1"/>
  <c r="IE8" i="31"/>
  <c r="IE13" i="31" s="1"/>
  <c r="ID8" i="31"/>
  <c r="ID13" i="31" s="1"/>
  <c r="IC8" i="31"/>
  <c r="IC13" i="31" s="1"/>
  <c r="IB8" i="31"/>
  <c r="IB13" i="31" s="1"/>
  <c r="IA8" i="31"/>
  <c r="HZ8" i="31"/>
  <c r="HY8" i="31"/>
  <c r="HY13" i="31" s="1"/>
  <c r="HX8" i="31"/>
  <c r="HX13" i="31" s="1"/>
  <c r="HW8" i="31"/>
  <c r="HW13" i="31" s="1"/>
  <c r="HV8" i="31"/>
  <c r="HV13" i="31" s="1"/>
  <c r="HU8" i="31"/>
  <c r="HU13" i="31" s="1"/>
  <c r="HT8" i="31"/>
  <c r="HT13" i="31" s="1"/>
  <c r="HS8" i="31"/>
  <c r="HR8" i="31"/>
  <c r="HQ8" i="31"/>
  <c r="HQ13" i="31" s="1"/>
  <c r="HP8" i="31"/>
  <c r="HP13" i="31" s="1"/>
  <c r="HO8" i="31"/>
  <c r="HO13" i="31" s="1"/>
  <c r="HN8" i="31"/>
  <c r="HN13" i="31" s="1"/>
  <c r="HM8" i="31"/>
  <c r="HM13" i="31" s="1"/>
  <c r="HL8" i="31"/>
  <c r="HL13" i="31" s="1"/>
  <c r="HK8" i="31"/>
  <c r="HJ8" i="31"/>
  <c r="HI8" i="31"/>
  <c r="HI13" i="31" s="1"/>
  <c r="HH8" i="31"/>
  <c r="HH13" i="31" s="1"/>
  <c r="HG8" i="31"/>
  <c r="HG13" i="31" s="1"/>
  <c r="HF8" i="31"/>
  <c r="HF13" i="31" s="1"/>
  <c r="HE8" i="31"/>
  <c r="HE13" i="31" s="1"/>
  <c r="HD8" i="31"/>
  <c r="HD13" i="31" s="1"/>
  <c r="HC8" i="31"/>
  <c r="HB8" i="31"/>
  <c r="HA8" i="31"/>
  <c r="HA13" i="31" s="1"/>
  <c r="GZ8" i="31"/>
  <c r="GZ13" i="31" s="1"/>
  <c r="GY8" i="31"/>
  <c r="GY13" i="31" s="1"/>
  <c r="GX8" i="31"/>
  <c r="GX13" i="31" s="1"/>
  <c r="GW8" i="31"/>
  <c r="GW13" i="31" s="1"/>
  <c r="GV8" i="31"/>
  <c r="GV13" i="31" s="1"/>
  <c r="GU8" i="31"/>
  <c r="GT8" i="31"/>
  <c r="GS8" i="31"/>
  <c r="GS13" i="31" s="1"/>
  <c r="GR8" i="31"/>
  <c r="GR13" i="31" s="1"/>
  <c r="GQ8" i="31"/>
  <c r="GQ13" i="31" s="1"/>
  <c r="GP8" i="31"/>
  <c r="GP13" i="31" s="1"/>
  <c r="GO8" i="31"/>
  <c r="GO13" i="31" s="1"/>
  <c r="GN8" i="31"/>
  <c r="GN13" i="31" s="1"/>
  <c r="GM8" i="31"/>
  <c r="GL8" i="31"/>
  <c r="GK8" i="31"/>
  <c r="GK13" i="31" s="1"/>
  <c r="GJ8" i="31"/>
  <c r="GJ13" i="31" s="1"/>
  <c r="GI8" i="31"/>
  <c r="GI13" i="31" s="1"/>
  <c r="GH8" i="31"/>
  <c r="GH13" i="31" s="1"/>
  <c r="GG8" i="31"/>
  <c r="GG13" i="31" s="1"/>
  <c r="GF8" i="31"/>
  <c r="GF13" i="31" s="1"/>
  <c r="GE8" i="31"/>
  <c r="GD8" i="31"/>
  <c r="GC8" i="31"/>
  <c r="GC13" i="31" s="1"/>
  <c r="GB8" i="31"/>
  <c r="GB13" i="31" s="1"/>
  <c r="GA8" i="31"/>
  <c r="GA13" i="31" s="1"/>
  <c r="FZ8" i="31"/>
  <c r="FZ13" i="31" s="1"/>
  <c r="FY8" i="31"/>
  <c r="FY13" i="31" s="1"/>
  <c r="FX8" i="31"/>
  <c r="FX13" i="31" s="1"/>
  <c r="FW8" i="31"/>
  <c r="FV8" i="31"/>
  <c r="FU8" i="31"/>
  <c r="FU13" i="31" s="1"/>
  <c r="FT8" i="31"/>
  <c r="FT13" i="31" s="1"/>
  <c r="FS8" i="31"/>
  <c r="FS13" i="31" s="1"/>
  <c r="FR8" i="31"/>
  <c r="FR13" i="31" s="1"/>
  <c r="FQ8" i="31"/>
  <c r="FQ13" i="31" s="1"/>
  <c r="FP8" i="31"/>
  <c r="FP13" i="31" s="1"/>
  <c r="FO8" i="31"/>
  <c r="FN8" i="31"/>
  <c r="FM8" i="31"/>
  <c r="FM13" i="31" s="1"/>
  <c r="FL8" i="31"/>
  <c r="FL13" i="31" s="1"/>
  <c r="FK8" i="31"/>
  <c r="FK13" i="31" s="1"/>
  <c r="FJ8" i="31"/>
  <c r="FJ13" i="31" s="1"/>
  <c r="FI8" i="31"/>
  <c r="FI13" i="31" s="1"/>
  <c r="FH8" i="31"/>
  <c r="FH13" i="31" s="1"/>
  <c r="FG8" i="31"/>
  <c r="FF8" i="31"/>
  <c r="FE8" i="31"/>
  <c r="FE13" i="31" s="1"/>
  <c r="FD8" i="31"/>
  <c r="FD13" i="31" s="1"/>
  <c r="FC8" i="31"/>
  <c r="FC13" i="31" s="1"/>
  <c r="FB8" i="31"/>
  <c r="FB13" i="31" s="1"/>
  <c r="FA8" i="31"/>
  <c r="FA13" i="31" s="1"/>
  <c r="EZ8" i="31"/>
  <c r="EZ13" i="31" s="1"/>
  <c r="EY8" i="31"/>
  <c r="EX8" i="31"/>
  <c r="EW8" i="31"/>
  <c r="EW13" i="31" s="1"/>
  <c r="EV8" i="31"/>
  <c r="EV13" i="31" s="1"/>
  <c r="EU8" i="31"/>
  <c r="EU13" i="31" s="1"/>
  <c r="ET8" i="31"/>
  <c r="ET13" i="31" s="1"/>
  <c r="ES8" i="31"/>
  <c r="ES13" i="31" s="1"/>
  <c r="ER8" i="31"/>
  <c r="ER13" i="31" s="1"/>
  <c r="EQ8" i="31"/>
  <c r="EP8" i="31"/>
  <c r="EO8" i="31"/>
  <c r="EO13" i="31" s="1"/>
  <c r="EN8" i="31"/>
  <c r="EN13" i="31" s="1"/>
  <c r="EM8" i="31"/>
  <c r="EM13" i="31" s="1"/>
  <c r="EL8" i="31"/>
  <c r="EL13" i="31" s="1"/>
  <c r="EK8" i="31"/>
  <c r="EK13" i="31" s="1"/>
  <c r="EJ8" i="31"/>
  <c r="EJ13" i="31" s="1"/>
  <c r="EI8" i="31"/>
  <c r="EH8" i="31"/>
  <c r="EG8" i="31"/>
  <c r="EG13" i="31" s="1"/>
  <c r="EF8" i="31"/>
  <c r="EF13" i="31" s="1"/>
  <c r="EE8" i="31"/>
  <c r="EE13" i="31" s="1"/>
  <c r="ED8" i="31"/>
  <c r="ED13" i="31" s="1"/>
  <c r="EC8" i="31"/>
  <c r="EC13" i="31" s="1"/>
  <c r="EB8" i="31"/>
  <c r="EB13" i="31" s="1"/>
  <c r="EA8" i="31"/>
  <c r="DZ8" i="31"/>
  <c r="DY8" i="31"/>
  <c r="DY13" i="31" s="1"/>
  <c r="DX8" i="31"/>
  <c r="DX13" i="31" s="1"/>
  <c r="DW8" i="31"/>
  <c r="DW13" i="31" s="1"/>
  <c r="DV8" i="31"/>
  <c r="DV13" i="31" s="1"/>
  <c r="DU8" i="31"/>
  <c r="DU13" i="31" s="1"/>
  <c r="DT8" i="31"/>
  <c r="DT13" i="31" s="1"/>
  <c r="DS8" i="31"/>
  <c r="DR8" i="31"/>
  <c r="DQ8" i="31"/>
  <c r="DQ13" i="31" s="1"/>
  <c r="DP8" i="31"/>
  <c r="DP13" i="31" s="1"/>
  <c r="DO8" i="31"/>
  <c r="DO13" i="31" s="1"/>
  <c r="DN8" i="31"/>
  <c r="DN13" i="31" s="1"/>
  <c r="DM8" i="31"/>
  <c r="DM13" i="31" s="1"/>
  <c r="DL8" i="31"/>
  <c r="DL13" i="31" s="1"/>
  <c r="DK8" i="31"/>
  <c r="DJ8" i="31"/>
  <c r="DI8" i="31"/>
  <c r="DI13" i="31" s="1"/>
  <c r="DH8" i="31"/>
  <c r="DH13" i="31" s="1"/>
  <c r="DG8" i="31"/>
  <c r="DG13" i="31" s="1"/>
  <c r="DF8" i="31"/>
  <c r="DF13" i="31" s="1"/>
  <c r="DE8" i="31"/>
  <c r="DE13" i="31" s="1"/>
  <c r="DD8" i="31"/>
  <c r="DD13" i="31" s="1"/>
  <c r="DC8" i="31"/>
  <c r="DB8" i="31"/>
  <c r="DA8" i="31"/>
  <c r="DA13" i="31" s="1"/>
  <c r="CZ8" i="31"/>
  <c r="CZ13" i="31" s="1"/>
  <c r="CY8" i="31"/>
  <c r="CY13" i="31" s="1"/>
  <c r="CX8" i="31"/>
  <c r="CX13" i="31" s="1"/>
  <c r="CW8" i="31"/>
  <c r="CW13" i="31" s="1"/>
  <c r="CV8" i="31"/>
  <c r="CV13" i="31" s="1"/>
  <c r="CU8" i="31"/>
  <c r="CT8" i="31"/>
  <c r="CS8" i="31"/>
  <c r="CS13" i="31" s="1"/>
  <c r="CR8" i="31"/>
  <c r="CR13" i="31" s="1"/>
  <c r="CQ8" i="31"/>
  <c r="CQ13" i="31" s="1"/>
  <c r="CP8" i="31"/>
  <c r="CP13" i="31" s="1"/>
  <c r="CO8" i="31"/>
  <c r="CO13" i="31" s="1"/>
  <c r="CN8" i="31"/>
  <c r="CN13" i="31" s="1"/>
  <c r="CM8" i="31"/>
  <c r="CL8" i="31"/>
  <c r="CK8" i="31"/>
  <c r="CK13" i="31" s="1"/>
  <c r="CJ8" i="31"/>
  <c r="CJ13" i="31" s="1"/>
  <c r="CI8" i="31"/>
  <c r="CI13" i="31" s="1"/>
  <c r="CH8" i="31"/>
  <c r="CH13" i="31" s="1"/>
  <c r="CG8" i="31"/>
  <c r="CG13" i="31" s="1"/>
  <c r="CF8" i="31"/>
  <c r="CF13" i="31" s="1"/>
  <c r="CE8" i="31"/>
  <c r="CD8" i="31"/>
  <c r="CC8" i="31"/>
  <c r="CC13" i="31" s="1"/>
  <c r="CB8" i="31"/>
  <c r="CB13" i="31" s="1"/>
  <c r="CA8" i="31"/>
  <c r="CA13" i="31" s="1"/>
  <c r="BZ8" i="31"/>
  <c r="BZ13" i="31" s="1"/>
  <c r="BY8" i="31"/>
  <c r="BY13" i="31" s="1"/>
  <c r="BX8" i="31"/>
  <c r="BX13" i="31" s="1"/>
  <c r="BW8" i="31"/>
  <c r="BV8" i="31"/>
  <c r="BU8" i="31"/>
  <c r="BU13" i="31" s="1"/>
  <c r="BT8" i="31"/>
  <c r="BT13" i="31" s="1"/>
  <c r="BS8" i="31"/>
  <c r="BS13" i="31" s="1"/>
  <c r="BR8" i="31"/>
  <c r="BR13" i="31" s="1"/>
  <c r="BQ8" i="31"/>
  <c r="BQ13" i="31" s="1"/>
  <c r="BP8" i="31"/>
  <c r="BP13" i="31" s="1"/>
  <c r="BO8" i="31"/>
  <c r="BN8" i="31"/>
  <c r="BM8" i="31"/>
  <c r="BM13" i="31" s="1"/>
  <c r="BL8" i="31"/>
  <c r="BL13" i="31" s="1"/>
  <c r="BK8" i="31"/>
  <c r="BK13" i="31" s="1"/>
  <c r="BJ8" i="31"/>
  <c r="BJ13" i="31" s="1"/>
  <c r="BI8" i="31"/>
  <c r="BI13" i="31" s="1"/>
  <c r="BH8" i="31"/>
  <c r="BH13" i="31" s="1"/>
  <c r="BG8" i="31"/>
  <c r="BF8" i="31"/>
  <c r="BE8" i="31"/>
  <c r="BE13" i="31" s="1"/>
  <c r="BD8" i="31"/>
  <c r="BD13" i="31" s="1"/>
  <c r="BC8" i="31"/>
  <c r="BC13" i="31" s="1"/>
  <c r="BB8" i="31"/>
  <c r="BB13" i="31" s="1"/>
  <c r="BA8" i="31"/>
  <c r="BA13" i="31" s="1"/>
  <c r="AZ8" i="31"/>
  <c r="AZ13" i="31" s="1"/>
  <c r="AY8" i="31"/>
  <c r="AX8" i="31"/>
  <c r="AW8" i="31"/>
  <c r="AW13" i="31" s="1"/>
  <c r="AV8" i="31"/>
  <c r="AV13" i="31" s="1"/>
  <c r="AU8" i="31"/>
  <c r="AU13" i="31" s="1"/>
  <c r="AT8" i="31"/>
  <c r="AT13" i="31" s="1"/>
  <c r="AS8" i="31"/>
  <c r="AS13" i="31" s="1"/>
  <c r="AR8" i="31"/>
  <c r="AR13" i="31" s="1"/>
  <c r="AQ8" i="31"/>
  <c r="AP8" i="31"/>
  <c r="AO8" i="31"/>
  <c r="AO13" i="31" s="1"/>
  <c r="AN8" i="31"/>
  <c r="AN13" i="31" s="1"/>
  <c r="AM8" i="31"/>
  <c r="AM13" i="31" s="1"/>
  <c r="AL8" i="31"/>
  <c r="AL13" i="31" s="1"/>
  <c r="AK8" i="31"/>
  <c r="AK13" i="31" s="1"/>
  <c r="AJ8" i="31"/>
  <c r="AJ13" i="31" s="1"/>
  <c r="AI8" i="31"/>
  <c r="AH8" i="31"/>
  <c r="AG8" i="31"/>
  <c r="AG13" i="31" s="1"/>
  <c r="AF8" i="31"/>
  <c r="AF13" i="31" s="1"/>
  <c r="AE8" i="31"/>
  <c r="AE13" i="31" s="1"/>
  <c r="AD8" i="31"/>
  <c r="AD13" i="31" s="1"/>
  <c r="AC8" i="31"/>
  <c r="AC13" i="31" s="1"/>
  <c r="AB8" i="31"/>
  <c r="AB13" i="31" s="1"/>
  <c r="AA8" i="31"/>
  <c r="Z8" i="31"/>
  <c r="Y8" i="31"/>
  <c r="Y13" i="31" s="1"/>
  <c r="X8" i="31"/>
  <c r="X13" i="31" s="1"/>
  <c r="W8" i="31"/>
  <c r="W13" i="31" s="1"/>
  <c r="V8" i="31"/>
  <c r="V13" i="31" s="1"/>
  <c r="U8" i="31"/>
  <c r="U13" i="31" s="1"/>
  <c r="T8" i="31"/>
  <c r="T13" i="31" s="1"/>
  <c r="S8" i="31"/>
  <c r="R8" i="31"/>
  <c r="Q8" i="31"/>
  <c r="Q13" i="31" s="1"/>
  <c r="P8" i="31"/>
  <c r="P13" i="31" s="1"/>
  <c r="O8" i="31"/>
  <c r="O13" i="31" s="1"/>
  <c r="N8" i="31"/>
  <c r="N13" i="31" s="1"/>
  <c r="M8" i="31"/>
  <c r="M13" i="31" s="1"/>
  <c r="L8" i="31"/>
  <c r="L13" i="31" s="1"/>
  <c r="K8" i="31"/>
  <c r="J8" i="31"/>
  <c r="I8" i="31"/>
  <c r="I13" i="31" s="1"/>
  <c r="H8" i="31"/>
  <c r="H13" i="31" s="1"/>
  <c r="G8" i="31"/>
  <c r="G13" i="31" s="1"/>
  <c r="F8" i="31"/>
  <c r="F13" i="31" s="1"/>
  <c r="E8" i="31"/>
  <c r="E13" i="31" s="1"/>
  <c r="D8" i="31"/>
  <c r="D13" i="31" s="1"/>
  <c r="C8" i="31"/>
  <c r="B8" i="31"/>
  <c r="MP7" i="31"/>
  <c r="MO7" i="31"/>
  <c r="MN7" i="31"/>
  <c r="MM7" i="31"/>
  <c r="ML7" i="31"/>
  <c r="MK7" i="31"/>
  <c r="MJ7" i="31"/>
  <c r="MI7" i="31"/>
  <c r="MH7" i="31"/>
  <c r="MG7" i="31"/>
  <c r="MF7" i="31"/>
  <c r="ME7" i="31"/>
  <c r="MD7" i="31"/>
  <c r="MC7" i="31"/>
  <c r="MB7" i="31"/>
  <c r="MA7" i="31"/>
  <c r="LZ7" i="31"/>
  <c r="LY7" i="31"/>
  <c r="LX7" i="31"/>
  <c r="LW7" i="31"/>
  <c r="LV7" i="31"/>
  <c r="LU7" i="31"/>
  <c r="LT7" i="31"/>
  <c r="LS7" i="31"/>
  <c r="LR7" i="31"/>
  <c r="LQ7" i="31"/>
  <c r="LP7" i="31"/>
  <c r="LO7" i="31"/>
  <c r="LN7" i="31"/>
  <c r="LM7" i="31"/>
  <c r="LL7" i="31"/>
  <c r="LK7" i="31"/>
  <c r="LJ7" i="31"/>
  <c r="LI7" i="31"/>
  <c r="LH7" i="31"/>
  <c r="LG7" i="31"/>
  <c r="LF7" i="31"/>
  <c r="LE7" i="31"/>
  <c r="LD7" i="31"/>
  <c r="LC7" i="31"/>
  <c r="LB7" i="31"/>
  <c r="LA7" i="31"/>
  <c r="KZ7" i="31"/>
  <c r="KY7" i="31"/>
  <c r="KX7" i="31"/>
  <c r="KW7" i="31"/>
  <c r="KV7" i="31"/>
  <c r="KU7" i="31"/>
  <c r="KT7" i="31"/>
  <c r="KS7" i="31"/>
  <c r="KR7" i="31"/>
  <c r="KQ7" i="31"/>
  <c r="KP7" i="31"/>
  <c r="KO7" i="31"/>
  <c r="KN7" i="31"/>
  <c r="KM7" i="31"/>
  <c r="KL7" i="31"/>
  <c r="KK7" i="31"/>
  <c r="KJ7" i="31"/>
  <c r="KI7" i="31"/>
  <c r="KH7" i="31"/>
  <c r="KG7" i="31"/>
  <c r="KF7" i="31"/>
  <c r="KE7" i="31"/>
  <c r="KD7" i="31"/>
  <c r="KC7" i="31"/>
  <c r="KB7" i="31"/>
  <c r="KA7" i="31"/>
  <c r="JZ7" i="31"/>
  <c r="JY7" i="31"/>
  <c r="JX7" i="31"/>
  <c r="JW7" i="31"/>
  <c r="JV7" i="31"/>
  <c r="JU7" i="31"/>
  <c r="JT7" i="31"/>
  <c r="JS7" i="31"/>
  <c r="JR7" i="31"/>
  <c r="JQ7" i="31"/>
  <c r="JP7" i="31"/>
  <c r="JO7" i="31"/>
  <c r="JN7" i="31"/>
  <c r="JM7" i="31"/>
  <c r="JL7" i="31"/>
  <c r="JK7" i="31"/>
  <c r="JJ7" i="31"/>
  <c r="JI7" i="31"/>
  <c r="JH7" i="31"/>
  <c r="JG7" i="31"/>
  <c r="JF7" i="31"/>
  <c r="JE7" i="31"/>
  <c r="JD7" i="31"/>
  <c r="JC7" i="31"/>
  <c r="JB7" i="31"/>
  <c r="JA7" i="31"/>
  <c r="IZ7" i="31"/>
  <c r="IY7" i="31"/>
  <c r="IX7" i="31"/>
  <c r="IW7" i="31"/>
  <c r="IV7" i="31"/>
  <c r="IU7" i="31"/>
  <c r="IT7" i="31"/>
  <c r="IS7" i="31"/>
  <c r="IR7" i="31"/>
  <c r="IQ7" i="31"/>
  <c r="IP7" i="31"/>
  <c r="IO7" i="31"/>
  <c r="IN7" i="31"/>
  <c r="IM7" i="31"/>
  <c r="IL7" i="31"/>
  <c r="IK7" i="31"/>
  <c r="IJ7" i="31"/>
  <c r="II7" i="31"/>
  <c r="IH7" i="31"/>
  <c r="IG7" i="31"/>
  <c r="IF7" i="31"/>
  <c r="IE7" i="31"/>
  <c r="ID7" i="31"/>
  <c r="IC7" i="31"/>
  <c r="IB7" i="31"/>
  <c r="IA7" i="31"/>
  <c r="HZ7" i="31"/>
  <c r="HY7" i="31"/>
  <c r="HX7" i="31"/>
  <c r="HW7" i="31"/>
  <c r="HV7" i="31"/>
  <c r="HU7" i="31"/>
  <c r="HT7" i="31"/>
  <c r="HS7" i="31"/>
  <c r="HR7" i="31"/>
  <c r="HQ7" i="31"/>
  <c r="HP7" i="31"/>
  <c r="HO7" i="31"/>
  <c r="HN7" i="31"/>
  <c r="HM7" i="31"/>
  <c r="HL7" i="31"/>
  <c r="HK7" i="31"/>
  <c r="HJ7" i="31"/>
  <c r="HI7" i="31"/>
  <c r="HH7" i="31"/>
  <c r="HG7" i="31"/>
  <c r="HF7" i="31"/>
  <c r="HE7" i="31"/>
  <c r="HD7" i="31"/>
  <c r="HC7" i="31"/>
  <c r="HB7" i="31"/>
  <c r="HA7" i="31"/>
  <c r="GZ7" i="31"/>
  <c r="GY7" i="31"/>
  <c r="GX7" i="31"/>
  <c r="GW7" i="31"/>
  <c r="GV7" i="31"/>
  <c r="GU7" i="31"/>
  <c r="GT7" i="31"/>
  <c r="GS7" i="31"/>
  <c r="GR7" i="31"/>
  <c r="GQ7" i="31"/>
  <c r="GP7" i="31"/>
  <c r="GO7" i="31"/>
  <c r="GN7" i="31"/>
  <c r="GM7" i="31"/>
  <c r="GL7" i="31"/>
  <c r="GK7" i="31"/>
  <c r="GJ7" i="31"/>
  <c r="GI7" i="31"/>
  <c r="GH7" i="31"/>
  <c r="GG7" i="31"/>
  <c r="GF7" i="31"/>
  <c r="GE7" i="31"/>
  <c r="GD7" i="31"/>
  <c r="GC7" i="31"/>
  <c r="GB7" i="31"/>
  <c r="GA7" i="31"/>
  <c r="FZ7" i="31"/>
  <c r="FY7" i="31"/>
  <c r="FX7" i="31"/>
  <c r="FW7" i="31"/>
  <c r="FV7" i="31"/>
  <c r="FU7" i="31"/>
  <c r="FT7" i="31"/>
  <c r="FS7" i="31"/>
  <c r="FR7" i="31"/>
  <c r="FQ7" i="31"/>
  <c r="FP7" i="31"/>
  <c r="FO7" i="31"/>
  <c r="FN7" i="31"/>
  <c r="FM7" i="31"/>
  <c r="FL7" i="31"/>
  <c r="FK7" i="31"/>
  <c r="FJ7" i="31"/>
  <c r="FI7" i="31"/>
  <c r="FH7" i="31"/>
  <c r="FG7" i="31"/>
  <c r="FF7" i="31"/>
  <c r="FE7" i="31"/>
  <c r="FD7" i="31"/>
  <c r="FC7" i="31"/>
  <c r="FB7" i="31"/>
  <c r="FA7" i="31"/>
  <c r="EZ7" i="31"/>
  <c r="EY7" i="31"/>
  <c r="EX7" i="31"/>
  <c r="EW7" i="31"/>
  <c r="EV7" i="31"/>
  <c r="EU7" i="31"/>
  <c r="ET7" i="31"/>
  <c r="ES7" i="31"/>
  <c r="ER7" i="31"/>
  <c r="EQ7" i="31"/>
  <c r="EP7" i="31"/>
  <c r="EO7" i="31"/>
  <c r="EN7" i="31"/>
  <c r="EM7" i="31"/>
  <c r="EL7" i="31"/>
  <c r="EK7" i="31"/>
  <c r="EJ7" i="31"/>
  <c r="EI7" i="31"/>
  <c r="EH7" i="31"/>
  <c r="EG7" i="31"/>
  <c r="EF7" i="31"/>
  <c r="EE7" i="31"/>
  <c r="ED7" i="31"/>
  <c r="EC7" i="31"/>
  <c r="EB7" i="31"/>
  <c r="EA7" i="31"/>
  <c r="DZ7" i="31"/>
  <c r="DY7" i="31"/>
  <c r="DX7" i="31"/>
  <c r="DW7" i="31"/>
  <c r="DV7" i="31"/>
  <c r="DU7" i="31"/>
  <c r="DT7" i="31"/>
  <c r="DS7" i="31"/>
  <c r="DR7" i="31"/>
  <c r="DQ7" i="31"/>
  <c r="DP7" i="31"/>
  <c r="DO7" i="31"/>
  <c r="DN7" i="31"/>
  <c r="DM7" i="31"/>
  <c r="DL7" i="31"/>
  <c r="DK7" i="31"/>
  <c r="DJ7" i="31"/>
  <c r="DI7" i="31"/>
  <c r="DH7" i="31"/>
  <c r="DG7" i="31"/>
  <c r="DF7" i="31"/>
  <c r="DE7" i="31"/>
  <c r="DD7" i="31"/>
  <c r="DC7" i="31"/>
  <c r="DB7" i="31"/>
  <c r="DA7" i="31"/>
  <c r="CZ7" i="31"/>
  <c r="CY7" i="31"/>
  <c r="CX7" i="31"/>
  <c r="CW7" i="31"/>
  <c r="CV7" i="31"/>
  <c r="CU7" i="31"/>
  <c r="CT7" i="31"/>
  <c r="CS7" i="31"/>
  <c r="CR7" i="31"/>
  <c r="CQ7" i="31"/>
  <c r="CP7" i="31"/>
  <c r="CO7" i="31"/>
  <c r="CN7" i="31"/>
  <c r="CM7" i="31"/>
  <c r="CL7" i="31"/>
  <c r="CK7" i="31"/>
  <c r="CJ7" i="31"/>
  <c r="CI7" i="31"/>
  <c r="CH7" i="31"/>
  <c r="CG7" i="31"/>
  <c r="CF7" i="31"/>
  <c r="CE7" i="31"/>
  <c r="CD7" i="31"/>
  <c r="CC7" i="31"/>
  <c r="CB7" i="31"/>
  <c r="CA7" i="31"/>
  <c r="BZ7" i="31"/>
  <c r="BY7" i="31"/>
  <c r="BX7" i="31"/>
  <c r="BW7" i="31"/>
  <c r="BV7" i="31"/>
  <c r="BU7" i="31"/>
  <c r="BT7" i="31"/>
  <c r="BS7" i="31"/>
  <c r="BR7" i="31"/>
  <c r="BQ7" i="31"/>
  <c r="BP7" i="31"/>
  <c r="BO7" i="31"/>
  <c r="BN7" i="31"/>
  <c r="BM7" i="31"/>
  <c r="BL7" i="31"/>
  <c r="BK7" i="31"/>
  <c r="BJ7" i="31"/>
  <c r="BI7" i="31"/>
  <c r="BH7" i="31"/>
  <c r="BG7" i="31"/>
  <c r="BF7" i="31"/>
  <c r="BE7" i="31"/>
  <c r="BD7" i="31"/>
  <c r="BC7" i="31"/>
  <c r="BB7" i="31"/>
  <c r="BA7" i="31"/>
  <c r="AZ7" i="31"/>
  <c r="AY7" i="31"/>
  <c r="AX7" i="31"/>
  <c r="AW7" i="31"/>
  <c r="AV7" i="31"/>
  <c r="AU7" i="31"/>
  <c r="AT7" i="31"/>
  <c r="AS7" i="31"/>
  <c r="AR7" i="31"/>
  <c r="AQ7" i="31"/>
  <c r="AP7" i="31"/>
  <c r="AO7" i="31"/>
  <c r="AN7" i="31"/>
  <c r="AM7" i="31"/>
  <c r="AL7" i="31"/>
  <c r="AK7" i="31"/>
  <c r="AJ7" i="31"/>
  <c r="AI7" i="31"/>
  <c r="AH7" i="31"/>
  <c r="AG7" i="31"/>
  <c r="AF7" i="31"/>
  <c r="AE7" i="31"/>
  <c r="AD7" i="31"/>
  <c r="AC7" i="31"/>
  <c r="AB7" i="31"/>
  <c r="AA7" i="31"/>
  <c r="Z7" i="31"/>
  <c r="Y7" i="31"/>
  <c r="X7" i="31"/>
  <c r="W7" i="31"/>
  <c r="V7" i="31"/>
  <c r="U7" i="31"/>
  <c r="T7" i="31"/>
  <c r="S7" i="31"/>
  <c r="R7" i="31"/>
  <c r="Q7" i="31"/>
  <c r="P7" i="31"/>
  <c r="O7" i="31"/>
  <c r="N7" i="31"/>
  <c r="M7" i="31"/>
  <c r="L7" i="31"/>
  <c r="K7" i="31"/>
  <c r="J7" i="31"/>
  <c r="I7" i="31"/>
  <c r="H7" i="31"/>
  <c r="G7" i="31"/>
  <c r="F7" i="31"/>
  <c r="E7" i="31"/>
  <c r="D7" i="31"/>
  <c r="C7" i="31"/>
  <c r="B7" i="31"/>
  <c r="MP6" i="31"/>
  <c r="MO6" i="31"/>
  <c r="MN6" i="31"/>
  <c r="MM6" i="31"/>
  <c r="ML6" i="31"/>
  <c r="MK6" i="31"/>
  <c r="MJ6" i="31"/>
  <c r="MI6" i="31"/>
  <c r="MH6" i="31"/>
  <c r="MG6" i="31"/>
  <c r="MF6" i="31"/>
  <c r="ME6" i="31"/>
  <c r="MD6" i="31"/>
  <c r="MC6" i="31"/>
  <c r="MB6" i="31"/>
  <c r="MA6" i="31"/>
  <c r="LZ6" i="31"/>
  <c r="LY6" i="31"/>
  <c r="LX6" i="31"/>
  <c r="LW6" i="31"/>
  <c r="LV6" i="31"/>
  <c r="LU6" i="31"/>
  <c r="LT6" i="31"/>
  <c r="LS6" i="31"/>
  <c r="LR6" i="31"/>
  <c r="LQ6" i="31"/>
  <c r="LP6" i="31"/>
  <c r="LO6" i="31"/>
  <c r="LN6" i="31"/>
  <c r="LM6" i="31"/>
  <c r="LL6" i="31"/>
  <c r="LK6" i="31"/>
  <c r="LJ6" i="31"/>
  <c r="LI6" i="31"/>
  <c r="LH6" i="31"/>
  <c r="LG6" i="31"/>
  <c r="LF6" i="31"/>
  <c r="LE6" i="31"/>
  <c r="LD6" i="31"/>
  <c r="LC6" i="31"/>
  <c r="LB6" i="31"/>
  <c r="LA6" i="31"/>
  <c r="KZ6" i="31"/>
  <c r="KY6" i="31"/>
  <c r="KX6" i="31"/>
  <c r="KW6" i="31"/>
  <c r="KV6" i="31"/>
  <c r="KU6" i="31"/>
  <c r="KT6" i="31"/>
  <c r="KS6" i="31"/>
  <c r="KR6" i="31"/>
  <c r="KQ6" i="31"/>
  <c r="KP6" i="31"/>
  <c r="KO6" i="31"/>
  <c r="KN6" i="31"/>
  <c r="KM6" i="31"/>
  <c r="KL6" i="31"/>
  <c r="KK6" i="31"/>
  <c r="KJ6" i="31"/>
  <c r="KI6" i="31"/>
  <c r="KH6" i="31"/>
  <c r="KG6" i="31"/>
  <c r="KF6" i="31"/>
  <c r="KE6" i="31"/>
  <c r="KD6" i="31"/>
  <c r="KC6" i="31"/>
  <c r="KB6" i="31"/>
  <c r="KA6" i="31"/>
  <c r="JZ6" i="31"/>
  <c r="JY6" i="31"/>
  <c r="JX6" i="31"/>
  <c r="JW6" i="31"/>
  <c r="JV6" i="31"/>
  <c r="JU6" i="31"/>
  <c r="JT6" i="31"/>
  <c r="JS6" i="31"/>
  <c r="JR6" i="31"/>
  <c r="JQ6" i="31"/>
  <c r="JP6" i="31"/>
  <c r="JO6" i="31"/>
  <c r="JN6" i="31"/>
  <c r="JM6" i="31"/>
  <c r="JL6" i="31"/>
  <c r="JK6" i="31"/>
  <c r="JJ6" i="31"/>
  <c r="JI6" i="31"/>
  <c r="JH6" i="31"/>
  <c r="JG6" i="31"/>
  <c r="JF6" i="31"/>
  <c r="JE6" i="31"/>
  <c r="JD6" i="31"/>
  <c r="JC6" i="31"/>
  <c r="JB6" i="31"/>
  <c r="JA6" i="31"/>
  <c r="IZ6" i="31"/>
  <c r="IY6" i="31"/>
  <c r="IX6" i="31"/>
  <c r="IW6" i="31"/>
  <c r="IV6" i="31"/>
  <c r="IU6" i="31"/>
  <c r="IT6" i="31"/>
  <c r="IS6" i="31"/>
  <c r="IR6" i="31"/>
  <c r="IQ6" i="31"/>
  <c r="IP6" i="31"/>
  <c r="IO6" i="31"/>
  <c r="IN6" i="31"/>
  <c r="IM6" i="31"/>
  <c r="IL6" i="31"/>
  <c r="IK6" i="31"/>
  <c r="IJ6" i="31"/>
  <c r="II6" i="31"/>
  <c r="IH6" i="31"/>
  <c r="IG6" i="31"/>
  <c r="IF6" i="31"/>
  <c r="IE6" i="31"/>
  <c r="ID6" i="31"/>
  <c r="IC6" i="31"/>
  <c r="IB6" i="31"/>
  <c r="IA6" i="31"/>
  <c r="HZ6" i="31"/>
  <c r="HY6" i="31"/>
  <c r="HX6" i="31"/>
  <c r="HW6" i="31"/>
  <c r="HV6" i="31"/>
  <c r="HU6" i="31"/>
  <c r="HT6" i="31"/>
  <c r="HS6" i="31"/>
  <c r="HR6" i="31"/>
  <c r="HQ6" i="31"/>
  <c r="HP6" i="31"/>
  <c r="HO6" i="31"/>
  <c r="HN6" i="31"/>
  <c r="HM6" i="31"/>
  <c r="HL6" i="31"/>
  <c r="HK6" i="31"/>
  <c r="HJ6" i="31"/>
  <c r="HI6" i="31"/>
  <c r="HH6" i="31"/>
  <c r="HG6" i="31"/>
  <c r="HF6" i="31"/>
  <c r="HE6" i="31"/>
  <c r="HD6" i="31"/>
  <c r="HC6" i="31"/>
  <c r="HB6" i="31"/>
  <c r="HA6" i="31"/>
  <c r="GZ6" i="31"/>
  <c r="GY6" i="31"/>
  <c r="GX6" i="31"/>
  <c r="GW6" i="31"/>
  <c r="GV6" i="31"/>
  <c r="GU6" i="31"/>
  <c r="GT6" i="31"/>
  <c r="GS6" i="31"/>
  <c r="GR6" i="31"/>
  <c r="GQ6" i="31"/>
  <c r="GP6" i="31"/>
  <c r="GO6" i="31"/>
  <c r="GN6" i="31"/>
  <c r="GM6" i="31"/>
  <c r="GL6" i="31"/>
  <c r="GK6" i="31"/>
  <c r="GJ6" i="31"/>
  <c r="GI6" i="31"/>
  <c r="GH6" i="31"/>
  <c r="GG6" i="31"/>
  <c r="GF6" i="31"/>
  <c r="GE6" i="31"/>
  <c r="GD6" i="31"/>
  <c r="GC6" i="31"/>
  <c r="GB6" i="31"/>
  <c r="GA6" i="31"/>
  <c r="FZ6" i="31"/>
  <c r="FY6" i="31"/>
  <c r="FX6" i="31"/>
  <c r="FW6" i="31"/>
  <c r="FV6" i="31"/>
  <c r="FU6" i="31"/>
  <c r="FT6" i="31"/>
  <c r="FS6" i="31"/>
  <c r="FR6" i="31"/>
  <c r="FQ6" i="31"/>
  <c r="FP6" i="31"/>
  <c r="FO6" i="31"/>
  <c r="FN6" i="31"/>
  <c r="FM6" i="31"/>
  <c r="FL6" i="31"/>
  <c r="FK6" i="31"/>
  <c r="FJ6" i="31"/>
  <c r="FI6" i="31"/>
  <c r="FH6" i="31"/>
  <c r="FG6" i="31"/>
  <c r="FF6" i="31"/>
  <c r="FE6" i="31"/>
  <c r="FD6" i="31"/>
  <c r="FC6" i="31"/>
  <c r="FB6" i="31"/>
  <c r="FA6" i="31"/>
  <c r="EZ6" i="31"/>
  <c r="EY6" i="31"/>
  <c r="EX6" i="31"/>
  <c r="EW6" i="31"/>
  <c r="EV6" i="31"/>
  <c r="EU6" i="31"/>
  <c r="ET6" i="31"/>
  <c r="ES6" i="31"/>
  <c r="ER6" i="31"/>
  <c r="EQ6" i="31"/>
  <c r="EP6" i="31"/>
  <c r="EO6" i="31"/>
  <c r="EN6" i="31"/>
  <c r="EM6" i="31"/>
  <c r="EL6" i="31"/>
  <c r="EK6" i="31"/>
  <c r="EJ6" i="31"/>
  <c r="EI6" i="31"/>
  <c r="EH6" i="31"/>
  <c r="EG6" i="31"/>
  <c r="EF6" i="31"/>
  <c r="EE6" i="31"/>
  <c r="ED6" i="31"/>
  <c r="EC6" i="31"/>
  <c r="EB6" i="31"/>
  <c r="EA6" i="31"/>
  <c r="DZ6" i="31"/>
  <c r="DY6" i="31"/>
  <c r="DX6" i="31"/>
  <c r="DW6" i="31"/>
  <c r="DV6" i="31"/>
  <c r="DU6" i="31"/>
  <c r="DT6" i="31"/>
  <c r="DS6" i="31"/>
  <c r="DR6" i="31"/>
  <c r="DQ6" i="31"/>
  <c r="DP6" i="31"/>
  <c r="DO6" i="31"/>
  <c r="DN6" i="31"/>
  <c r="DM6" i="31"/>
  <c r="DL6" i="31"/>
  <c r="DK6" i="31"/>
  <c r="DJ6" i="31"/>
  <c r="DI6" i="31"/>
  <c r="DH6" i="31"/>
  <c r="DG6" i="31"/>
  <c r="DF6" i="31"/>
  <c r="DE6" i="31"/>
  <c r="DD6" i="31"/>
  <c r="DC6" i="31"/>
  <c r="DB6" i="31"/>
  <c r="DA6" i="31"/>
  <c r="CZ6" i="31"/>
  <c r="CY6" i="31"/>
  <c r="CX6" i="31"/>
  <c r="CW6" i="31"/>
  <c r="CV6" i="31"/>
  <c r="CU6" i="31"/>
  <c r="CT6" i="31"/>
  <c r="CS6" i="31"/>
  <c r="CR6" i="31"/>
  <c r="CQ6" i="31"/>
  <c r="CP6" i="31"/>
  <c r="CO6" i="31"/>
  <c r="CN6" i="31"/>
  <c r="CM6" i="31"/>
  <c r="CL6" i="31"/>
  <c r="CK6" i="31"/>
  <c r="CJ6" i="31"/>
  <c r="CI6" i="31"/>
  <c r="CH6" i="31"/>
  <c r="CG6" i="31"/>
  <c r="CF6" i="31"/>
  <c r="CE6" i="31"/>
  <c r="CD6" i="31"/>
  <c r="CC6" i="31"/>
  <c r="CB6" i="31"/>
  <c r="CA6" i="31"/>
  <c r="BZ6" i="31"/>
  <c r="BY6" i="31"/>
  <c r="BX6" i="31"/>
  <c r="BW6" i="31"/>
  <c r="BV6" i="31"/>
  <c r="BU6" i="31"/>
  <c r="BT6" i="31"/>
  <c r="BS6" i="31"/>
  <c r="BR6" i="31"/>
  <c r="BQ6" i="31"/>
  <c r="BP6" i="31"/>
  <c r="BO6" i="31"/>
  <c r="BN6" i="31"/>
  <c r="BM6" i="31"/>
  <c r="BL6" i="31"/>
  <c r="BK6" i="31"/>
  <c r="BJ6" i="31"/>
  <c r="BI6" i="31"/>
  <c r="BH6" i="31"/>
  <c r="BG6" i="31"/>
  <c r="BF6" i="31"/>
  <c r="BE6" i="31"/>
  <c r="BD6" i="31"/>
  <c r="BC6" i="31"/>
  <c r="BB6" i="31"/>
  <c r="BA6" i="31"/>
  <c r="AZ6" i="31"/>
  <c r="AY6" i="31"/>
  <c r="AX6" i="31"/>
  <c r="AW6" i="31"/>
  <c r="AV6" i="31"/>
  <c r="AU6" i="31"/>
  <c r="AT6" i="31"/>
  <c r="AS6" i="31"/>
  <c r="AR6" i="31"/>
  <c r="AQ6" i="31"/>
  <c r="AP6" i="31"/>
  <c r="AO6" i="31"/>
  <c r="AN6" i="31"/>
  <c r="AM6" i="31"/>
  <c r="AL6" i="31"/>
  <c r="AK6" i="31"/>
  <c r="AJ6" i="31"/>
  <c r="AI6" i="31"/>
  <c r="AH6" i="31"/>
  <c r="AG6" i="31"/>
  <c r="AF6" i="31"/>
  <c r="AE6" i="31"/>
  <c r="AD6" i="31"/>
  <c r="AC6" i="31"/>
  <c r="AB6" i="31"/>
  <c r="AA6" i="31"/>
  <c r="Z6" i="31"/>
  <c r="Y6" i="31"/>
  <c r="X6" i="31"/>
  <c r="W6" i="31"/>
  <c r="V6" i="31"/>
  <c r="U6" i="31"/>
  <c r="T6" i="31"/>
  <c r="S6" i="31"/>
  <c r="R6" i="31"/>
  <c r="Q6" i="31"/>
  <c r="P6" i="31"/>
  <c r="O6" i="31"/>
  <c r="N6" i="31"/>
  <c r="M6" i="31"/>
  <c r="L6" i="31"/>
  <c r="K6" i="31"/>
  <c r="J6" i="31"/>
  <c r="I6" i="31"/>
  <c r="H6" i="31"/>
  <c r="G6" i="31"/>
  <c r="F6" i="31"/>
  <c r="E6" i="31"/>
  <c r="D6" i="31"/>
  <c r="C6" i="31"/>
  <c r="B6" i="31"/>
  <c r="KL13" i="30"/>
  <c r="KD13" i="30"/>
  <c r="JV13" i="30"/>
  <c r="JN13" i="30"/>
  <c r="JF13" i="30"/>
  <c r="IX13" i="30"/>
  <c r="IP13" i="30"/>
  <c r="IH13" i="30"/>
  <c r="HZ13" i="30"/>
  <c r="HR13" i="30"/>
  <c r="HJ13" i="30"/>
  <c r="HB13" i="30"/>
  <c r="GT13" i="30"/>
  <c r="GL13" i="30"/>
  <c r="GD13" i="30"/>
  <c r="FV13" i="30"/>
  <c r="FN13" i="30"/>
  <c r="FF13" i="30"/>
  <c r="EX13" i="30"/>
  <c r="EP13" i="30"/>
  <c r="EH13" i="30"/>
  <c r="DZ13" i="30"/>
  <c r="DR13" i="30"/>
  <c r="DJ13" i="30"/>
  <c r="DB13" i="30"/>
  <c r="CT13" i="30"/>
  <c r="CL13" i="30"/>
  <c r="CD13" i="30"/>
  <c r="BV13" i="30"/>
  <c r="BN13" i="30"/>
  <c r="BF13" i="30"/>
  <c r="AX13" i="30"/>
  <c r="AP13" i="30"/>
  <c r="AH13" i="30"/>
  <c r="Z13" i="30"/>
  <c r="R13" i="30"/>
  <c r="A13" i="30"/>
  <c r="KT9" i="30"/>
  <c r="KS9" i="30"/>
  <c r="KR9" i="30"/>
  <c r="KQ9" i="30"/>
  <c r="KP9" i="30"/>
  <c r="KO9" i="30"/>
  <c r="KN9" i="30"/>
  <c r="KM9" i="30"/>
  <c r="KL9" i="30"/>
  <c r="KK9" i="30"/>
  <c r="KJ9" i="30"/>
  <c r="KI9" i="30"/>
  <c r="KH9" i="30"/>
  <c r="KG9" i="30"/>
  <c r="KF9" i="30"/>
  <c r="KE9" i="30"/>
  <c r="KD9" i="30"/>
  <c r="KC9" i="30"/>
  <c r="KB9" i="30"/>
  <c r="KA9" i="30"/>
  <c r="JZ9" i="30"/>
  <c r="JY9" i="30"/>
  <c r="JX9" i="30"/>
  <c r="JW9" i="30"/>
  <c r="JV9" i="30"/>
  <c r="JU9" i="30"/>
  <c r="JT9" i="30"/>
  <c r="JS9" i="30"/>
  <c r="JR9" i="30"/>
  <c r="JQ9" i="30"/>
  <c r="JP9" i="30"/>
  <c r="JO9" i="30"/>
  <c r="JN9" i="30"/>
  <c r="JM9" i="30"/>
  <c r="JL9" i="30"/>
  <c r="JK9" i="30"/>
  <c r="JJ9" i="30"/>
  <c r="JI9" i="30"/>
  <c r="JH9" i="30"/>
  <c r="JG9" i="30"/>
  <c r="JF9" i="30"/>
  <c r="JE9" i="30"/>
  <c r="JD9" i="30"/>
  <c r="JC9" i="30"/>
  <c r="JB9" i="30"/>
  <c r="JA9" i="30"/>
  <c r="IZ9" i="30"/>
  <c r="IY9" i="30"/>
  <c r="IX9" i="30"/>
  <c r="IW9" i="30"/>
  <c r="IV9" i="30"/>
  <c r="IU9" i="30"/>
  <c r="IT9" i="30"/>
  <c r="IS9" i="30"/>
  <c r="IR9" i="30"/>
  <c r="IQ9" i="30"/>
  <c r="IP9" i="30"/>
  <c r="IO9" i="30"/>
  <c r="IN9" i="30"/>
  <c r="IM9" i="30"/>
  <c r="IL9" i="30"/>
  <c r="IK9" i="30"/>
  <c r="IJ9" i="30"/>
  <c r="II9" i="30"/>
  <c r="IH9" i="30"/>
  <c r="IG9" i="30"/>
  <c r="IF9" i="30"/>
  <c r="IE9" i="30"/>
  <c r="ID9" i="30"/>
  <c r="IC9" i="30"/>
  <c r="IB9" i="30"/>
  <c r="IA9" i="30"/>
  <c r="HZ9" i="30"/>
  <c r="HY9" i="30"/>
  <c r="HX9" i="30"/>
  <c r="HW9" i="30"/>
  <c r="HV9" i="30"/>
  <c r="HU9" i="30"/>
  <c r="HT9" i="30"/>
  <c r="HS9" i="30"/>
  <c r="HR9" i="30"/>
  <c r="HQ9" i="30"/>
  <c r="HP9" i="30"/>
  <c r="HO9" i="30"/>
  <c r="HN9" i="30"/>
  <c r="HM9" i="30"/>
  <c r="HL9" i="30"/>
  <c r="HK9" i="30"/>
  <c r="HJ9" i="30"/>
  <c r="HI9" i="30"/>
  <c r="HH9" i="30"/>
  <c r="HG9" i="30"/>
  <c r="HF9" i="30"/>
  <c r="HE9" i="30"/>
  <c r="HD9" i="30"/>
  <c r="HC9" i="30"/>
  <c r="HB9" i="30"/>
  <c r="HA9" i="30"/>
  <c r="GZ9" i="30"/>
  <c r="GY9" i="30"/>
  <c r="GX9" i="30"/>
  <c r="GW9" i="30"/>
  <c r="GV9" i="30"/>
  <c r="GU9" i="30"/>
  <c r="GT9" i="30"/>
  <c r="GS9" i="30"/>
  <c r="GR9" i="30"/>
  <c r="GQ9" i="30"/>
  <c r="GP9" i="30"/>
  <c r="GO9" i="30"/>
  <c r="GN9" i="30"/>
  <c r="GM9" i="30"/>
  <c r="GL9" i="30"/>
  <c r="GK9" i="30"/>
  <c r="GJ9" i="30"/>
  <c r="GI9" i="30"/>
  <c r="GH9" i="30"/>
  <c r="GG9" i="30"/>
  <c r="GF9" i="30"/>
  <c r="GE9" i="30"/>
  <c r="GD9" i="30"/>
  <c r="GC9" i="30"/>
  <c r="GB9" i="30"/>
  <c r="GA9" i="30"/>
  <c r="FZ9" i="30"/>
  <c r="FY9" i="30"/>
  <c r="FX9" i="30"/>
  <c r="FW9" i="30"/>
  <c r="FV9" i="30"/>
  <c r="FU9" i="30"/>
  <c r="FT9" i="30"/>
  <c r="FS9" i="30"/>
  <c r="FR9" i="30"/>
  <c r="FQ9" i="30"/>
  <c r="FP9" i="30"/>
  <c r="FO9" i="30"/>
  <c r="FN9" i="30"/>
  <c r="FM9" i="30"/>
  <c r="FL9" i="30"/>
  <c r="FK9" i="30"/>
  <c r="FJ9" i="30"/>
  <c r="FI9" i="30"/>
  <c r="FH9" i="30"/>
  <c r="FG9" i="30"/>
  <c r="FF9" i="30"/>
  <c r="FE9" i="30"/>
  <c r="FD9" i="30"/>
  <c r="FC9" i="30"/>
  <c r="FB9" i="30"/>
  <c r="FA9" i="30"/>
  <c r="EZ9" i="30"/>
  <c r="EY9" i="30"/>
  <c r="EX9" i="30"/>
  <c r="EW9" i="30"/>
  <c r="EV9" i="30"/>
  <c r="EU9" i="30"/>
  <c r="ET9" i="30"/>
  <c r="ES9" i="30"/>
  <c r="ER9" i="30"/>
  <c r="EQ9" i="30"/>
  <c r="EP9" i="30"/>
  <c r="EO9" i="30"/>
  <c r="EN9" i="30"/>
  <c r="EM9" i="30"/>
  <c r="EL9" i="30"/>
  <c r="EK9" i="30"/>
  <c r="EJ9" i="30"/>
  <c r="EI9" i="30"/>
  <c r="EH9" i="30"/>
  <c r="EG9" i="30"/>
  <c r="EF9" i="30"/>
  <c r="EE9" i="30"/>
  <c r="ED9" i="30"/>
  <c r="EC9" i="30"/>
  <c r="EB9" i="30"/>
  <c r="EA9" i="30"/>
  <c r="DZ9" i="30"/>
  <c r="DY9" i="30"/>
  <c r="DX9" i="30"/>
  <c r="DW9" i="30"/>
  <c r="DV9" i="30"/>
  <c r="DU9" i="30"/>
  <c r="DT9" i="30"/>
  <c r="DS9" i="30"/>
  <c r="DR9" i="30"/>
  <c r="DQ9" i="30"/>
  <c r="DP9" i="30"/>
  <c r="DO9" i="30"/>
  <c r="DN9" i="30"/>
  <c r="DM9" i="30"/>
  <c r="DL9" i="30"/>
  <c r="DK9" i="30"/>
  <c r="DJ9" i="30"/>
  <c r="DI9" i="30"/>
  <c r="DH9" i="30"/>
  <c r="DG9" i="30"/>
  <c r="DF9" i="30"/>
  <c r="DE9" i="30"/>
  <c r="DD9" i="30"/>
  <c r="DC9" i="30"/>
  <c r="DB9" i="30"/>
  <c r="DA9" i="30"/>
  <c r="CZ9" i="30"/>
  <c r="CY9" i="30"/>
  <c r="CX9" i="30"/>
  <c r="CW9" i="30"/>
  <c r="CV9" i="30"/>
  <c r="CU9" i="30"/>
  <c r="CT9" i="30"/>
  <c r="CS9" i="30"/>
  <c r="CR9" i="30"/>
  <c r="CQ9" i="30"/>
  <c r="CP9" i="30"/>
  <c r="CO9" i="30"/>
  <c r="CN9" i="30"/>
  <c r="CM9" i="30"/>
  <c r="CL9" i="30"/>
  <c r="CK9" i="30"/>
  <c r="CJ9" i="30"/>
  <c r="CI9" i="30"/>
  <c r="CH9" i="30"/>
  <c r="CG9" i="30"/>
  <c r="CF9" i="30"/>
  <c r="CE9" i="30"/>
  <c r="CD9" i="30"/>
  <c r="CC9" i="30"/>
  <c r="CB9" i="30"/>
  <c r="CA9" i="30"/>
  <c r="BZ9" i="30"/>
  <c r="BY9" i="30"/>
  <c r="BX9" i="30"/>
  <c r="BW9" i="30"/>
  <c r="BV9" i="30"/>
  <c r="BU9" i="30"/>
  <c r="BT9" i="30"/>
  <c r="BS9" i="30"/>
  <c r="BR9" i="30"/>
  <c r="BQ9" i="30"/>
  <c r="BP9" i="30"/>
  <c r="BO9" i="30"/>
  <c r="BN9" i="30"/>
  <c r="BM9" i="30"/>
  <c r="BL9" i="30"/>
  <c r="BK9" i="30"/>
  <c r="BJ9" i="30"/>
  <c r="BI9" i="30"/>
  <c r="BH9" i="30"/>
  <c r="BG9" i="30"/>
  <c r="BF9" i="30"/>
  <c r="BE9" i="30"/>
  <c r="BD9" i="30"/>
  <c r="BC9" i="30"/>
  <c r="BB9" i="30"/>
  <c r="BA9" i="30"/>
  <c r="AZ9" i="30"/>
  <c r="AY9" i="30"/>
  <c r="AX9" i="30"/>
  <c r="AW9" i="30"/>
  <c r="AV9" i="30"/>
  <c r="AU9" i="30"/>
  <c r="AT9" i="30"/>
  <c r="AS9" i="30"/>
  <c r="AR9" i="30"/>
  <c r="AQ9" i="30"/>
  <c r="AP9" i="30"/>
  <c r="AO9" i="30"/>
  <c r="AN9" i="30"/>
  <c r="AM9" i="30"/>
  <c r="AL9" i="30"/>
  <c r="AK9" i="30"/>
  <c r="AJ9" i="30"/>
  <c r="AI9" i="30"/>
  <c r="AH9" i="30"/>
  <c r="AG9" i="30"/>
  <c r="AF9" i="30"/>
  <c r="AE9" i="30"/>
  <c r="AD9" i="30"/>
  <c r="AC9" i="30"/>
  <c r="AB9" i="30"/>
  <c r="AA9" i="30"/>
  <c r="Z9" i="30"/>
  <c r="Y9" i="30"/>
  <c r="X9" i="30"/>
  <c r="W9" i="30"/>
  <c r="V9" i="30"/>
  <c r="U9" i="30"/>
  <c r="T9" i="30"/>
  <c r="S9" i="30"/>
  <c r="R9" i="30"/>
  <c r="Q9" i="30"/>
  <c r="P9" i="30"/>
  <c r="KT8" i="30"/>
  <c r="KS8" i="30"/>
  <c r="KR8" i="30"/>
  <c r="KR13" i="30" s="1"/>
  <c r="KQ8" i="30"/>
  <c r="KP8" i="30"/>
  <c r="KP13" i="30" s="1"/>
  <c r="KO8" i="30"/>
  <c r="KO13" i="30" s="1"/>
  <c r="KN8" i="30"/>
  <c r="KM8" i="30"/>
  <c r="KM13" i="30" s="1"/>
  <c r="KL8" i="30"/>
  <c r="KK8" i="30"/>
  <c r="KK13" i="30" s="1"/>
  <c r="KJ8" i="30"/>
  <c r="KJ13" i="30" s="1"/>
  <c r="KI8" i="30"/>
  <c r="KH8" i="30"/>
  <c r="KH13" i="30" s="1"/>
  <c r="KG8" i="30"/>
  <c r="KG13" i="30" s="1"/>
  <c r="KF8" i="30"/>
  <c r="KE8" i="30"/>
  <c r="KE13" i="30" s="1"/>
  <c r="KD8" i="30"/>
  <c r="KC8" i="30"/>
  <c r="KC13" i="30" s="1"/>
  <c r="KB8" i="30"/>
  <c r="KB13" i="30" s="1"/>
  <c r="KA8" i="30"/>
  <c r="JZ8" i="30"/>
  <c r="JZ13" i="30" s="1"/>
  <c r="JY8" i="30"/>
  <c r="JY13" i="30" s="1"/>
  <c r="JX8" i="30"/>
  <c r="JW8" i="30"/>
  <c r="JW13" i="30" s="1"/>
  <c r="JV8" i="30"/>
  <c r="JU8" i="30"/>
  <c r="JU13" i="30" s="1"/>
  <c r="JT8" i="30"/>
  <c r="JT13" i="30" s="1"/>
  <c r="JS8" i="30"/>
  <c r="JR8" i="30"/>
  <c r="JR13" i="30" s="1"/>
  <c r="JQ8" i="30"/>
  <c r="JQ13" i="30" s="1"/>
  <c r="JP8" i="30"/>
  <c r="JO8" i="30"/>
  <c r="JO13" i="30" s="1"/>
  <c r="JN8" i="30"/>
  <c r="JM8" i="30"/>
  <c r="JM13" i="30" s="1"/>
  <c r="JL8" i="30"/>
  <c r="JL13" i="30" s="1"/>
  <c r="JK8" i="30"/>
  <c r="JJ8" i="30"/>
  <c r="JJ13" i="30" s="1"/>
  <c r="JI8" i="30"/>
  <c r="JI13" i="30" s="1"/>
  <c r="JH8" i="30"/>
  <c r="JG8" i="30"/>
  <c r="JG13" i="30" s="1"/>
  <c r="JF8" i="30"/>
  <c r="JE8" i="30"/>
  <c r="JE13" i="30" s="1"/>
  <c r="JD8" i="30"/>
  <c r="JD13" i="30" s="1"/>
  <c r="JC8" i="30"/>
  <c r="JB8" i="30"/>
  <c r="JB13" i="30" s="1"/>
  <c r="JA8" i="30"/>
  <c r="JA13" i="30" s="1"/>
  <c r="IZ8" i="30"/>
  <c r="IY8" i="30"/>
  <c r="IY13" i="30" s="1"/>
  <c r="IX8" i="30"/>
  <c r="IW8" i="30"/>
  <c r="IW13" i="30" s="1"/>
  <c r="IV8" i="30"/>
  <c r="IV13" i="30" s="1"/>
  <c r="IU8" i="30"/>
  <c r="IT8" i="30"/>
  <c r="IT13" i="30" s="1"/>
  <c r="IS8" i="30"/>
  <c r="IS13" i="30" s="1"/>
  <c r="IR8" i="30"/>
  <c r="IQ8" i="30"/>
  <c r="IQ13" i="30" s="1"/>
  <c r="IP8" i="30"/>
  <c r="IO8" i="30"/>
  <c r="IO13" i="30" s="1"/>
  <c r="IN8" i="30"/>
  <c r="IN13" i="30" s="1"/>
  <c r="IM8" i="30"/>
  <c r="IL8" i="30"/>
  <c r="IL13" i="30" s="1"/>
  <c r="IK8" i="30"/>
  <c r="IK13" i="30" s="1"/>
  <c r="IJ8" i="30"/>
  <c r="II8" i="30"/>
  <c r="II13" i="30" s="1"/>
  <c r="IH8" i="30"/>
  <c r="IG8" i="30"/>
  <c r="IG13" i="30" s="1"/>
  <c r="IF8" i="30"/>
  <c r="IF13" i="30" s="1"/>
  <c r="IE8" i="30"/>
  <c r="ID8" i="30"/>
  <c r="ID13" i="30" s="1"/>
  <c r="IC8" i="30"/>
  <c r="IC13" i="30" s="1"/>
  <c r="IB8" i="30"/>
  <c r="IA8" i="30"/>
  <c r="IA13" i="30" s="1"/>
  <c r="HZ8" i="30"/>
  <c r="HY8" i="30"/>
  <c r="HY13" i="30" s="1"/>
  <c r="HX8" i="30"/>
  <c r="HX13" i="30" s="1"/>
  <c r="HW8" i="30"/>
  <c r="HV8" i="30"/>
  <c r="HV13" i="30" s="1"/>
  <c r="HU8" i="30"/>
  <c r="HU13" i="30" s="1"/>
  <c r="HT8" i="30"/>
  <c r="HS8" i="30"/>
  <c r="HS13" i="30" s="1"/>
  <c r="HR8" i="30"/>
  <c r="HQ8" i="30"/>
  <c r="HQ13" i="30" s="1"/>
  <c r="HP8" i="30"/>
  <c r="HP13" i="30" s="1"/>
  <c r="HO8" i="30"/>
  <c r="HN8" i="30"/>
  <c r="HN13" i="30" s="1"/>
  <c r="HM8" i="30"/>
  <c r="HM13" i="30" s="1"/>
  <c r="HL8" i="30"/>
  <c r="HK8" i="30"/>
  <c r="HK13" i="30" s="1"/>
  <c r="HJ8" i="30"/>
  <c r="HI8" i="30"/>
  <c r="HI13" i="30" s="1"/>
  <c r="HH8" i="30"/>
  <c r="HH13" i="30" s="1"/>
  <c r="HG8" i="30"/>
  <c r="HF8" i="30"/>
  <c r="HF13" i="30" s="1"/>
  <c r="HE8" i="30"/>
  <c r="HE13" i="30" s="1"/>
  <c r="HD8" i="30"/>
  <c r="HC8" i="30"/>
  <c r="HC13" i="30" s="1"/>
  <c r="HB8" i="30"/>
  <c r="HA8" i="30"/>
  <c r="HA13" i="30" s="1"/>
  <c r="GZ8" i="30"/>
  <c r="GZ13" i="30" s="1"/>
  <c r="GY8" i="30"/>
  <c r="GX8" i="30"/>
  <c r="GX13" i="30" s="1"/>
  <c r="GW8" i="30"/>
  <c r="GW13" i="30" s="1"/>
  <c r="GV8" i="30"/>
  <c r="GU8" i="30"/>
  <c r="GU13" i="30" s="1"/>
  <c r="GT8" i="30"/>
  <c r="GS8" i="30"/>
  <c r="GS13" i="30" s="1"/>
  <c r="GR8" i="30"/>
  <c r="GR13" i="30" s="1"/>
  <c r="GQ8" i="30"/>
  <c r="GP8" i="30"/>
  <c r="GP13" i="30" s="1"/>
  <c r="GO8" i="30"/>
  <c r="GO13" i="30" s="1"/>
  <c r="GN8" i="30"/>
  <c r="GM8" i="30"/>
  <c r="GM13" i="30" s="1"/>
  <c r="GL8" i="30"/>
  <c r="GK8" i="30"/>
  <c r="GK13" i="30" s="1"/>
  <c r="GJ8" i="30"/>
  <c r="GJ13" i="30" s="1"/>
  <c r="GI8" i="30"/>
  <c r="GH8" i="30"/>
  <c r="GH13" i="30" s="1"/>
  <c r="GG8" i="30"/>
  <c r="GG13" i="30" s="1"/>
  <c r="GF8" i="30"/>
  <c r="GE8" i="30"/>
  <c r="GE13" i="30" s="1"/>
  <c r="GD8" i="30"/>
  <c r="GC8" i="30"/>
  <c r="GC13" i="30" s="1"/>
  <c r="GB8" i="30"/>
  <c r="GB13" i="30" s="1"/>
  <c r="GA8" i="30"/>
  <c r="FZ8" i="30"/>
  <c r="FZ13" i="30" s="1"/>
  <c r="FY8" i="30"/>
  <c r="FY13" i="30" s="1"/>
  <c r="FX8" i="30"/>
  <c r="FW8" i="30"/>
  <c r="FW13" i="30" s="1"/>
  <c r="FV8" i="30"/>
  <c r="FU8" i="30"/>
  <c r="FU13" i="30" s="1"/>
  <c r="FT8" i="30"/>
  <c r="FT13" i="30" s="1"/>
  <c r="FS8" i="30"/>
  <c r="FR8" i="30"/>
  <c r="FR13" i="30" s="1"/>
  <c r="FQ8" i="30"/>
  <c r="FQ13" i="30" s="1"/>
  <c r="FP8" i="30"/>
  <c r="FO8" i="30"/>
  <c r="FO13" i="30" s="1"/>
  <c r="FN8" i="30"/>
  <c r="FM8" i="30"/>
  <c r="FM13" i="30" s="1"/>
  <c r="FL8" i="30"/>
  <c r="FL13" i="30" s="1"/>
  <c r="FK8" i="30"/>
  <c r="FJ8" i="30"/>
  <c r="FJ13" i="30" s="1"/>
  <c r="FI8" i="30"/>
  <c r="FI13" i="30" s="1"/>
  <c r="FH8" i="30"/>
  <c r="FG8" i="30"/>
  <c r="FG13" i="30" s="1"/>
  <c r="FF8" i="30"/>
  <c r="FE8" i="30"/>
  <c r="FE13" i="30" s="1"/>
  <c r="FD8" i="30"/>
  <c r="FD13" i="30" s="1"/>
  <c r="FC8" i="30"/>
  <c r="FB8" i="30"/>
  <c r="FB13" i="30" s="1"/>
  <c r="FA8" i="30"/>
  <c r="FA13" i="30" s="1"/>
  <c r="EZ8" i="30"/>
  <c r="EY8" i="30"/>
  <c r="EY13" i="30" s="1"/>
  <c r="EX8" i="30"/>
  <c r="EW8" i="30"/>
  <c r="EW13" i="30" s="1"/>
  <c r="EV8" i="30"/>
  <c r="EV13" i="30" s="1"/>
  <c r="EU8" i="30"/>
  <c r="ET8" i="30"/>
  <c r="ET13" i="30" s="1"/>
  <c r="ES8" i="30"/>
  <c r="ES13" i="30" s="1"/>
  <c r="ER8" i="30"/>
  <c r="EQ8" i="30"/>
  <c r="EQ13" i="30" s="1"/>
  <c r="EP8" i="30"/>
  <c r="EO8" i="30"/>
  <c r="EO13" i="30" s="1"/>
  <c r="EN8" i="30"/>
  <c r="EN13" i="30" s="1"/>
  <c r="EM8" i="30"/>
  <c r="EL8" i="30"/>
  <c r="EL13" i="30" s="1"/>
  <c r="EK8" i="30"/>
  <c r="EK13" i="30" s="1"/>
  <c r="EJ8" i="30"/>
  <c r="EI8" i="30"/>
  <c r="EI13" i="30" s="1"/>
  <c r="EH8" i="30"/>
  <c r="EG8" i="30"/>
  <c r="EG13" i="30" s="1"/>
  <c r="EF8" i="30"/>
  <c r="EF13" i="30" s="1"/>
  <c r="EE8" i="30"/>
  <c r="ED8" i="30"/>
  <c r="ED13" i="30" s="1"/>
  <c r="EC8" i="30"/>
  <c r="EC13" i="30" s="1"/>
  <c r="EB8" i="30"/>
  <c r="EA8" i="30"/>
  <c r="EA13" i="30" s="1"/>
  <c r="DZ8" i="30"/>
  <c r="DY8" i="30"/>
  <c r="DY13" i="30" s="1"/>
  <c r="DX8" i="30"/>
  <c r="DX13" i="30" s="1"/>
  <c r="DW8" i="30"/>
  <c r="DV8" i="30"/>
  <c r="DV13" i="30" s="1"/>
  <c r="DU8" i="30"/>
  <c r="DU13" i="30" s="1"/>
  <c r="DT8" i="30"/>
  <c r="DS8" i="30"/>
  <c r="DS13" i="30" s="1"/>
  <c r="DR8" i="30"/>
  <c r="DQ8" i="30"/>
  <c r="DQ13" i="30" s="1"/>
  <c r="DP8" i="30"/>
  <c r="DP13" i="30" s="1"/>
  <c r="DO8" i="30"/>
  <c r="DN8" i="30"/>
  <c r="DN13" i="30" s="1"/>
  <c r="DM8" i="30"/>
  <c r="DM13" i="30" s="1"/>
  <c r="DL8" i="30"/>
  <c r="DK8" i="30"/>
  <c r="DK13" i="30" s="1"/>
  <c r="DJ8" i="30"/>
  <c r="DI8" i="30"/>
  <c r="DI13" i="30" s="1"/>
  <c r="DH8" i="30"/>
  <c r="DH13" i="30" s="1"/>
  <c r="DG8" i="30"/>
  <c r="DF8" i="30"/>
  <c r="DF13" i="30" s="1"/>
  <c r="DE8" i="30"/>
  <c r="DE13" i="30" s="1"/>
  <c r="DD8" i="30"/>
  <c r="DC8" i="30"/>
  <c r="DC13" i="30" s="1"/>
  <c r="DB8" i="30"/>
  <c r="DA8" i="30"/>
  <c r="DA13" i="30" s="1"/>
  <c r="CZ8" i="30"/>
  <c r="CZ13" i="30" s="1"/>
  <c r="CY8" i="30"/>
  <c r="CX8" i="30"/>
  <c r="CX13" i="30" s="1"/>
  <c r="CW8" i="30"/>
  <c r="CW13" i="30" s="1"/>
  <c r="CV8" i="30"/>
  <c r="CU8" i="30"/>
  <c r="CU13" i="30" s="1"/>
  <c r="CT8" i="30"/>
  <c r="CS8" i="30"/>
  <c r="CS13" i="30" s="1"/>
  <c r="CR8" i="30"/>
  <c r="CR13" i="30" s="1"/>
  <c r="CQ8" i="30"/>
  <c r="CP8" i="30"/>
  <c r="CP13" i="30" s="1"/>
  <c r="CO8" i="30"/>
  <c r="CO13" i="30" s="1"/>
  <c r="CN8" i="30"/>
  <c r="CM8" i="30"/>
  <c r="CM13" i="30" s="1"/>
  <c r="CL8" i="30"/>
  <c r="CK8" i="30"/>
  <c r="CK13" i="30" s="1"/>
  <c r="CJ8" i="30"/>
  <c r="CJ13" i="30" s="1"/>
  <c r="CI8" i="30"/>
  <c r="CH8" i="30"/>
  <c r="CH13" i="30" s="1"/>
  <c r="CG8" i="30"/>
  <c r="CG13" i="30" s="1"/>
  <c r="CF8" i="30"/>
  <c r="CE8" i="30"/>
  <c r="CE13" i="30" s="1"/>
  <c r="CD8" i="30"/>
  <c r="CC8" i="30"/>
  <c r="CC13" i="30" s="1"/>
  <c r="CB8" i="30"/>
  <c r="CB13" i="30" s="1"/>
  <c r="CA8" i="30"/>
  <c r="CA13" i="30" s="1"/>
  <c r="BZ8" i="30"/>
  <c r="BZ13" i="30" s="1"/>
  <c r="BY8" i="30"/>
  <c r="BY13" i="30" s="1"/>
  <c r="BX8" i="30"/>
  <c r="BW8" i="30"/>
  <c r="BW13" i="30" s="1"/>
  <c r="BV8" i="30"/>
  <c r="BU8" i="30"/>
  <c r="BU13" i="30" s="1"/>
  <c r="BT8" i="30"/>
  <c r="BT13" i="30" s="1"/>
  <c r="BS8" i="30"/>
  <c r="BS13" i="30" s="1"/>
  <c r="BR8" i="30"/>
  <c r="BR13" i="30" s="1"/>
  <c r="BQ8" i="30"/>
  <c r="BQ13" i="30" s="1"/>
  <c r="BP8" i="30"/>
  <c r="BO8" i="30"/>
  <c r="BO13" i="30" s="1"/>
  <c r="BN8" i="30"/>
  <c r="BM8" i="30"/>
  <c r="BM13" i="30" s="1"/>
  <c r="BL8" i="30"/>
  <c r="BL13" i="30" s="1"/>
  <c r="BK8" i="30"/>
  <c r="BK13" i="30" s="1"/>
  <c r="BJ8" i="30"/>
  <c r="BJ13" i="30" s="1"/>
  <c r="BI8" i="30"/>
  <c r="BI13" i="30" s="1"/>
  <c r="BH8" i="30"/>
  <c r="BG8" i="30"/>
  <c r="BG13" i="30" s="1"/>
  <c r="BF8" i="30"/>
  <c r="BE8" i="30"/>
  <c r="BE13" i="30" s="1"/>
  <c r="BD8" i="30"/>
  <c r="BD13" i="30" s="1"/>
  <c r="BC8" i="30"/>
  <c r="BC13" i="30" s="1"/>
  <c r="BB8" i="30"/>
  <c r="BB13" i="30" s="1"/>
  <c r="BA8" i="30"/>
  <c r="BA13" i="30" s="1"/>
  <c r="AZ8" i="30"/>
  <c r="AY8" i="30"/>
  <c r="AY13" i="30" s="1"/>
  <c r="AX8" i="30"/>
  <c r="AW8" i="30"/>
  <c r="AW13" i="30" s="1"/>
  <c r="AV8" i="30"/>
  <c r="AV13" i="30" s="1"/>
  <c r="AU8" i="30"/>
  <c r="AU13" i="30" s="1"/>
  <c r="AT8" i="30"/>
  <c r="AT13" i="30" s="1"/>
  <c r="AS8" i="30"/>
  <c r="AS13" i="30" s="1"/>
  <c r="AR8" i="30"/>
  <c r="AQ8" i="30"/>
  <c r="AQ13" i="30" s="1"/>
  <c r="AP8" i="30"/>
  <c r="AO8" i="30"/>
  <c r="AO13" i="30" s="1"/>
  <c r="AN8" i="30"/>
  <c r="AN13" i="30" s="1"/>
  <c r="AM8" i="30"/>
  <c r="AM13" i="30" s="1"/>
  <c r="AL8" i="30"/>
  <c r="AL13" i="30" s="1"/>
  <c r="AK8" i="30"/>
  <c r="AK13" i="30" s="1"/>
  <c r="AJ8" i="30"/>
  <c r="AI8" i="30"/>
  <c r="AI13" i="30" s="1"/>
  <c r="AH8" i="30"/>
  <c r="AG8" i="30"/>
  <c r="AG13" i="30" s="1"/>
  <c r="AF8" i="30"/>
  <c r="AF13" i="30" s="1"/>
  <c r="AE8" i="30"/>
  <c r="AE13" i="30" s="1"/>
  <c r="AD8" i="30"/>
  <c r="AD13" i="30" s="1"/>
  <c r="AC8" i="30"/>
  <c r="AC13" i="30" s="1"/>
  <c r="AB8" i="30"/>
  <c r="AA8" i="30"/>
  <c r="AA13" i="30" s="1"/>
  <c r="Z8" i="30"/>
  <c r="Y8" i="30"/>
  <c r="Y13" i="30" s="1"/>
  <c r="X8" i="30"/>
  <c r="X13" i="30" s="1"/>
  <c r="W8" i="30"/>
  <c r="W13" i="30" s="1"/>
  <c r="V8" i="30"/>
  <c r="V13" i="30" s="1"/>
  <c r="U8" i="30"/>
  <c r="U13" i="30" s="1"/>
  <c r="T8" i="30"/>
  <c r="S8" i="30"/>
  <c r="S13" i="30" s="1"/>
  <c r="R8" i="30"/>
  <c r="Q8" i="30"/>
  <c r="Q13" i="30" s="1"/>
  <c r="P8" i="30"/>
  <c r="P13" i="30" s="1"/>
  <c r="KT7" i="30"/>
  <c r="KS7" i="30"/>
  <c r="KR7" i="30"/>
  <c r="KQ7" i="30"/>
  <c r="KP7" i="30"/>
  <c r="KO7" i="30"/>
  <c r="KN7" i="30"/>
  <c r="KN13" i="30" s="1"/>
  <c r="KM7" i="30"/>
  <c r="KL7" i="30"/>
  <c r="KK7" i="30"/>
  <c r="KJ7" i="30"/>
  <c r="KI7" i="30"/>
  <c r="KH7" i="30"/>
  <c r="KG7" i="30"/>
  <c r="KF7" i="30"/>
  <c r="KF13" i="30" s="1"/>
  <c r="KE7" i="30"/>
  <c r="KD7" i="30"/>
  <c r="KC7" i="30"/>
  <c r="KB7" i="30"/>
  <c r="KA7" i="30"/>
  <c r="JZ7" i="30"/>
  <c r="JY7" i="30"/>
  <c r="JX7" i="30"/>
  <c r="JX13" i="30" s="1"/>
  <c r="JW7" i="30"/>
  <c r="JV7" i="30"/>
  <c r="JU7" i="30"/>
  <c r="JT7" i="30"/>
  <c r="JS7" i="30"/>
  <c r="JR7" i="30"/>
  <c r="JQ7" i="30"/>
  <c r="JP7" i="30"/>
  <c r="JP13" i="30" s="1"/>
  <c r="JO7" i="30"/>
  <c r="JN7" i="30"/>
  <c r="JM7" i="30"/>
  <c r="JL7" i="30"/>
  <c r="JK7" i="30"/>
  <c r="JJ7" i="30"/>
  <c r="JI7" i="30"/>
  <c r="JH7" i="30"/>
  <c r="JH13" i="30" s="1"/>
  <c r="JG7" i="30"/>
  <c r="JF7" i="30"/>
  <c r="JE7" i="30"/>
  <c r="JD7" i="30"/>
  <c r="JC7" i="30"/>
  <c r="JB7" i="30"/>
  <c r="JA7" i="30"/>
  <c r="IZ7" i="30"/>
  <c r="IZ13" i="30" s="1"/>
  <c r="IY7" i="30"/>
  <c r="IX7" i="30"/>
  <c r="IW7" i="30"/>
  <c r="IV7" i="30"/>
  <c r="IU7" i="30"/>
  <c r="IT7" i="30"/>
  <c r="IS7" i="30"/>
  <c r="IR7" i="30"/>
  <c r="IR13" i="30" s="1"/>
  <c r="IQ7" i="30"/>
  <c r="IP7" i="30"/>
  <c r="IO7" i="30"/>
  <c r="IN7" i="30"/>
  <c r="IM7" i="30"/>
  <c r="IL7" i="30"/>
  <c r="IK7" i="30"/>
  <c r="IJ7" i="30"/>
  <c r="IJ13" i="30" s="1"/>
  <c r="II7" i="30"/>
  <c r="IH7" i="30"/>
  <c r="IG7" i="30"/>
  <c r="IF7" i="30"/>
  <c r="IE7" i="30"/>
  <c r="ID7" i="30"/>
  <c r="IC7" i="30"/>
  <c r="IB7" i="30"/>
  <c r="IB13" i="30" s="1"/>
  <c r="IA7" i="30"/>
  <c r="HZ7" i="30"/>
  <c r="HY7" i="30"/>
  <c r="HX7" i="30"/>
  <c r="HW7" i="30"/>
  <c r="HV7" i="30"/>
  <c r="HU7" i="30"/>
  <c r="HT7" i="30"/>
  <c r="HT13" i="30" s="1"/>
  <c r="HS7" i="30"/>
  <c r="HR7" i="30"/>
  <c r="HQ7" i="30"/>
  <c r="HP7" i="30"/>
  <c r="HO7" i="30"/>
  <c r="HN7" i="30"/>
  <c r="HM7" i="30"/>
  <c r="HL7" i="30"/>
  <c r="HL13" i="30" s="1"/>
  <c r="HK7" i="30"/>
  <c r="HJ7" i="30"/>
  <c r="HI7" i="30"/>
  <c r="HH7" i="30"/>
  <c r="HG7" i="30"/>
  <c r="HF7" i="30"/>
  <c r="HE7" i="30"/>
  <c r="HD7" i="30"/>
  <c r="HD13" i="30" s="1"/>
  <c r="HC7" i="30"/>
  <c r="HB7" i="30"/>
  <c r="HA7" i="30"/>
  <c r="GZ7" i="30"/>
  <c r="GY7" i="30"/>
  <c r="GX7" i="30"/>
  <c r="GW7" i="30"/>
  <c r="GV7" i="30"/>
  <c r="GV13" i="30" s="1"/>
  <c r="GU7" i="30"/>
  <c r="GT7" i="30"/>
  <c r="GS7" i="30"/>
  <c r="GR7" i="30"/>
  <c r="GQ7" i="30"/>
  <c r="GP7" i="30"/>
  <c r="GO7" i="30"/>
  <c r="GN7" i="30"/>
  <c r="GN13" i="30" s="1"/>
  <c r="GM7" i="30"/>
  <c r="GL7" i="30"/>
  <c r="GK7" i="30"/>
  <c r="GJ7" i="30"/>
  <c r="GI7" i="30"/>
  <c r="GH7" i="30"/>
  <c r="GG7" i="30"/>
  <c r="GF7" i="30"/>
  <c r="GF13" i="30" s="1"/>
  <c r="GE7" i="30"/>
  <c r="GD7" i="30"/>
  <c r="GC7" i="30"/>
  <c r="GB7" i="30"/>
  <c r="GA7" i="30"/>
  <c r="FZ7" i="30"/>
  <c r="FY7" i="30"/>
  <c r="FX7" i="30"/>
  <c r="FX13" i="30" s="1"/>
  <c r="FW7" i="30"/>
  <c r="FV7" i="30"/>
  <c r="FU7" i="30"/>
  <c r="FT7" i="30"/>
  <c r="FS7" i="30"/>
  <c r="FR7" i="30"/>
  <c r="FQ7" i="30"/>
  <c r="FP7" i="30"/>
  <c r="FP13" i="30" s="1"/>
  <c r="FO7" i="30"/>
  <c r="FN7" i="30"/>
  <c r="FM7" i="30"/>
  <c r="FL7" i="30"/>
  <c r="FK7" i="30"/>
  <c r="FJ7" i="30"/>
  <c r="FI7" i="30"/>
  <c r="FH7" i="30"/>
  <c r="FH13" i="30" s="1"/>
  <c r="FG7" i="30"/>
  <c r="FF7" i="30"/>
  <c r="FE7" i="30"/>
  <c r="FD7" i="30"/>
  <c r="FC7" i="30"/>
  <c r="FB7" i="30"/>
  <c r="FA7" i="30"/>
  <c r="EZ7" i="30"/>
  <c r="EZ13" i="30" s="1"/>
  <c r="EY7" i="30"/>
  <c r="EX7" i="30"/>
  <c r="EW7" i="30"/>
  <c r="EV7" i="30"/>
  <c r="EU7" i="30"/>
  <c r="ET7" i="30"/>
  <c r="ES7" i="30"/>
  <c r="ER7" i="30"/>
  <c r="ER13" i="30" s="1"/>
  <c r="EQ7" i="30"/>
  <c r="EP7" i="30"/>
  <c r="EO7" i="30"/>
  <c r="EN7" i="30"/>
  <c r="EM7" i="30"/>
  <c r="EL7" i="30"/>
  <c r="EK7" i="30"/>
  <c r="EJ7" i="30"/>
  <c r="EJ13" i="30" s="1"/>
  <c r="EI7" i="30"/>
  <c r="EH7" i="30"/>
  <c r="EG7" i="30"/>
  <c r="EF7" i="30"/>
  <c r="EE7" i="30"/>
  <c r="ED7" i="30"/>
  <c r="EC7" i="30"/>
  <c r="EB7" i="30"/>
  <c r="EB13" i="30" s="1"/>
  <c r="EA7" i="30"/>
  <c r="DZ7" i="30"/>
  <c r="DY7" i="30"/>
  <c r="DX7" i="30"/>
  <c r="DW7" i="30"/>
  <c r="DV7" i="30"/>
  <c r="DU7" i="30"/>
  <c r="DT7" i="30"/>
  <c r="DT13" i="30" s="1"/>
  <c r="DS7" i="30"/>
  <c r="DR7" i="30"/>
  <c r="DQ7" i="30"/>
  <c r="DP7" i="30"/>
  <c r="DO7" i="30"/>
  <c r="DN7" i="30"/>
  <c r="DM7" i="30"/>
  <c r="DL7" i="30"/>
  <c r="DL13" i="30" s="1"/>
  <c r="DK7" i="30"/>
  <c r="DJ7" i="30"/>
  <c r="DI7" i="30"/>
  <c r="DH7" i="30"/>
  <c r="DG7" i="30"/>
  <c r="DF7" i="30"/>
  <c r="DE7" i="30"/>
  <c r="DD7" i="30"/>
  <c r="DD13" i="30" s="1"/>
  <c r="DC7" i="30"/>
  <c r="DB7" i="30"/>
  <c r="DA7" i="30"/>
  <c r="CZ7" i="30"/>
  <c r="CY7" i="30"/>
  <c r="CX7" i="30"/>
  <c r="CW7" i="30"/>
  <c r="CV7" i="30"/>
  <c r="CV13" i="30" s="1"/>
  <c r="CU7" i="30"/>
  <c r="CT7" i="30"/>
  <c r="CS7" i="30"/>
  <c r="CR7" i="30"/>
  <c r="CQ7" i="30"/>
  <c r="CP7" i="30"/>
  <c r="CO7" i="30"/>
  <c r="CN7" i="30"/>
  <c r="CN13" i="30" s="1"/>
  <c r="CM7" i="30"/>
  <c r="CL7" i="30"/>
  <c r="CK7" i="30"/>
  <c r="CJ7" i="30"/>
  <c r="CI7" i="30"/>
  <c r="CH7" i="30"/>
  <c r="CG7" i="30"/>
  <c r="CF7" i="30"/>
  <c r="CF13" i="30" s="1"/>
  <c r="CE7" i="30"/>
  <c r="CD7" i="30"/>
  <c r="CC7" i="30"/>
  <c r="CB7" i="30"/>
  <c r="CA7" i="30"/>
  <c r="BZ7" i="30"/>
  <c r="BY7" i="30"/>
  <c r="BX7" i="30"/>
  <c r="BX13" i="30" s="1"/>
  <c r="BW7" i="30"/>
  <c r="BV7" i="30"/>
  <c r="BU7" i="30"/>
  <c r="BT7" i="30"/>
  <c r="BS7" i="30"/>
  <c r="BR7" i="30"/>
  <c r="BQ7" i="30"/>
  <c r="BP7" i="30"/>
  <c r="BP13" i="30" s="1"/>
  <c r="BO7" i="30"/>
  <c r="BN7" i="30"/>
  <c r="BM7" i="30"/>
  <c r="BL7" i="30"/>
  <c r="BK7" i="30"/>
  <c r="BJ7" i="30"/>
  <c r="BI7" i="30"/>
  <c r="BH7" i="30"/>
  <c r="BH13" i="30" s="1"/>
  <c r="BG7" i="30"/>
  <c r="BF7" i="30"/>
  <c r="BE7" i="30"/>
  <c r="BD7" i="30"/>
  <c r="BC7" i="30"/>
  <c r="BB7" i="30"/>
  <c r="BA7" i="30"/>
  <c r="AZ7" i="30"/>
  <c r="AZ13" i="30" s="1"/>
  <c r="AY7" i="30"/>
  <c r="AX7" i="30"/>
  <c r="AW7" i="30"/>
  <c r="AV7" i="30"/>
  <c r="AU7" i="30"/>
  <c r="AT7" i="30"/>
  <c r="AS7" i="30"/>
  <c r="AR7" i="30"/>
  <c r="AR13" i="30" s="1"/>
  <c r="AQ7" i="30"/>
  <c r="AP7" i="30"/>
  <c r="AO7" i="30"/>
  <c r="AN7" i="30"/>
  <c r="AM7" i="30"/>
  <c r="AL7" i="30"/>
  <c r="AK7" i="30"/>
  <c r="AJ7" i="30"/>
  <c r="AJ13" i="30" s="1"/>
  <c r="AI7" i="30"/>
  <c r="AH7" i="30"/>
  <c r="AG7" i="30"/>
  <c r="AF7" i="30"/>
  <c r="AE7" i="30"/>
  <c r="AD7" i="30"/>
  <c r="AC7" i="30"/>
  <c r="AB7" i="30"/>
  <c r="AB13" i="30" s="1"/>
  <c r="AA7" i="30"/>
  <c r="Z7" i="30"/>
  <c r="Y7" i="30"/>
  <c r="X7" i="30"/>
  <c r="W7" i="30"/>
  <c r="V7" i="30"/>
  <c r="U7" i="30"/>
  <c r="T7" i="30"/>
  <c r="T13" i="30" s="1"/>
  <c r="S7" i="30"/>
  <c r="R7" i="30"/>
  <c r="Q7" i="30"/>
  <c r="P7" i="30"/>
  <c r="KT6" i="30"/>
  <c r="KS6" i="30"/>
  <c r="KR6" i="30"/>
  <c r="KQ6" i="30"/>
  <c r="KQ13" i="30" s="1"/>
  <c r="KS13" i="30" s="1"/>
  <c r="KP6" i="30"/>
  <c r="KO6" i="30"/>
  <c r="KN6" i="30"/>
  <c r="KM6" i="30"/>
  <c r="KL6" i="30"/>
  <c r="KK6" i="30"/>
  <c r="KJ6" i="30"/>
  <c r="KI6" i="30"/>
  <c r="KI13" i="30" s="1"/>
  <c r="KH6" i="30"/>
  <c r="KG6" i="30"/>
  <c r="KF6" i="30"/>
  <c r="KE6" i="30"/>
  <c r="KD6" i="30"/>
  <c r="KC6" i="30"/>
  <c r="KB6" i="30"/>
  <c r="KA6" i="30"/>
  <c r="KA13" i="30" s="1"/>
  <c r="JZ6" i="30"/>
  <c r="JY6" i="30"/>
  <c r="JX6" i="30"/>
  <c r="JW6" i="30"/>
  <c r="JV6" i="30"/>
  <c r="JU6" i="30"/>
  <c r="JT6" i="30"/>
  <c r="JS6" i="30"/>
  <c r="JS13" i="30" s="1"/>
  <c r="JR6" i="30"/>
  <c r="JQ6" i="30"/>
  <c r="JP6" i="30"/>
  <c r="JO6" i="30"/>
  <c r="JN6" i="30"/>
  <c r="JM6" i="30"/>
  <c r="JL6" i="30"/>
  <c r="JK6" i="30"/>
  <c r="JK13" i="30" s="1"/>
  <c r="JJ6" i="30"/>
  <c r="JI6" i="30"/>
  <c r="JH6" i="30"/>
  <c r="JG6" i="30"/>
  <c r="JF6" i="30"/>
  <c r="JE6" i="30"/>
  <c r="JD6" i="30"/>
  <c r="JC6" i="30"/>
  <c r="JC13" i="30" s="1"/>
  <c r="JB6" i="30"/>
  <c r="JA6" i="30"/>
  <c r="IZ6" i="30"/>
  <c r="IY6" i="30"/>
  <c r="IX6" i="30"/>
  <c r="IW6" i="30"/>
  <c r="IV6" i="30"/>
  <c r="IU6" i="30"/>
  <c r="IU13" i="30" s="1"/>
  <c r="IT6" i="30"/>
  <c r="IS6" i="30"/>
  <c r="IR6" i="30"/>
  <c r="IQ6" i="30"/>
  <c r="IP6" i="30"/>
  <c r="IO6" i="30"/>
  <c r="IN6" i="30"/>
  <c r="IM6" i="30"/>
  <c r="IM13" i="30" s="1"/>
  <c r="IL6" i="30"/>
  <c r="IK6" i="30"/>
  <c r="IJ6" i="30"/>
  <c r="II6" i="30"/>
  <c r="IH6" i="30"/>
  <c r="IG6" i="30"/>
  <c r="IF6" i="30"/>
  <c r="IE6" i="30"/>
  <c r="IE13" i="30" s="1"/>
  <c r="ID6" i="30"/>
  <c r="IC6" i="30"/>
  <c r="IB6" i="30"/>
  <c r="IA6" i="30"/>
  <c r="HZ6" i="30"/>
  <c r="HY6" i="30"/>
  <c r="HX6" i="30"/>
  <c r="HW6" i="30"/>
  <c r="HW13" i="30" s="1"/>
  <c r="HV6" i="30"/>
  <c r="HU6" i="30"/>
  <c r="HT6" i="30"/>
  <c r="HS6" i="30"/>
  <c r="HR6" i="30"/>
  <c r="HQ6" i="30"/>
  <c r="HP6" i="30"/>
  <c r="HO6" i="30"/>
  <c r="HO13" i="30" s="1"/>
  <c r="HN6" i="30"/>
  <c r="HM6" i="30"/>
  <c r="HL6" i="30"/>
  <c r="HK6" i="30"/>
  <c r="HJ6" i="30"/>
  <c r="HI6" i="30"/>
  <c r="HH6" i="30"/>
  <c r="HG6" i="30"/>
  <c r="HG13" i="30" s="1"/>
  <c r="HF6" i="30"/>
  <c r="HE6" i="30"/>
  <c r="HD6" i="30"/>
  <c r="HC6" i="30"/>
  <c r="HB6" i="30"/>
  <c r="HA6" i="30"/>
  <c r="GZ6" i="30"/>
  <c r="GY6" i="30"/>
  <c r="GY13" i="30" s="1"/>
  <c r="GX6" i="30"/>
  <c r="GW6" i="30"/>
  <c r="GV6" i="30"/>
  <c r="GU6" i="30"/>
  <c r="GT6" i="30"/>
  <c r="GS6" i="30"/>
  <c r="GR6" i="30"/>
  <c r="GQ6" i="30"/>
  <c r="GQ13" i="30" s="1"/>
  <c r="GP6" i="30"/>
  <c r="GO6" i="30"/>
  <c r="GN6" i="30"/>
  <c r="GM6" i="30"/>
  <c r="GL6" i="30"/>
  <c r="GK6" i="30"/>
  <c r="GJ6" i="30"/>
  <c r="GI6" i="30"/>
  <c r="GI13" i="30" s="1"/>
  <c r="GH6" i="30"/>
  <c r="GG6" i="30"/>
  <c r="GF6" i="30"/>
  <c r="GE6" i="30"/>
  <c r="GD6" i="30"/>
  <c r="GC6" i="30"/>
  <c r="GB6" i="30"/>
  <c r="GA6" i="30"/>
  <c r="GA13" i="30" s="1"/>
  <c r="FZ6" i="30"/>
  <c r="FY6" i="30"/>
  <c r="FX6" i="30"/>
  <c r="FW6" i="30"/>
  <c r="FV6" i="30"/>
  <c r="FU6" i="30"/>
  <c r="FT6" i="30"/>
  <c r="FS6" i="30"/>
  <c r="FS13" i="30" s="1"/>
  <c r="FR6" i="30"/>
  <c r="FQ6" i="30"/>
  <c r="FP6" i="30"/>
  <c r="FO6" i="30"/>
  <c r="FN6" i="30"/>
  <c r="FM6" i="30"/>
  <c r="FL6" i="30"/>
  <c r="FK6" i="30"/>
  <c r="FK13" i="30" s="1"/>
  <c r="FJ6" i="30"/>
  <c r="FI6" i="30"/>
  <c r="FH6" i="30"/>
  <c r="FG6" i="30"/>
  <c r="FF6" i="30"/>
  <c r="FE6" i="30"/>
  <c r="FD6" i="30"/>
  <c r="FC6" i="30"/>
  <c r="FC13" i="30" s="1"/>
  <c r="FB6" i="30"/>
  <c r="FA6" i="30"/>
  <c r="EZ6" i="30"/>
  <c r="EY6" i="30"/>
  <c r="EX6" i="30"/>
  <c r="EW6" i="30"/>
  <c r="EV6" i="30"/>
  <c r="EU6" i="30"/>
  <c r="EU13" i="30" s="1"/>
  <c r="ET6" i="30"/>
  <c r="ES6" i="30"/>
  <c r="ER6" i="30"/>
  <c r="EQ6" i="30"/>
  <c r="EP6" i="30"/>
  <c r="EO6" i="30"/>
  <c r="EN6" i="30"/>
  <c r="EM6" i="30"/>
  <c r="EM13" i="30" s="1"/>
  <c r="EL6" i="30"/>
  <c r="EK6" i="30"/>
  <c r="EJ6" i="30"/>
  <c r="EI6" i="30"/>
  <c r="EH6" i="30"/>
  <c r="EG6" i="30"/>
  <c r="EF6" i="30"/>
  <c r="EE6" i="30"/>
  <c r="EE13" i="30" s="1"/>
  <c r="ED6" i="30"/>
  <c r="EC6" i="30"/>
  <c r="EB6" i="30"/>
  <c r="EA6" i="30"/>
  <c r="DZ6" i="30"/>
  <c r="DY6" i="30"/>
  <c r="DX6" i="30"/>
  <c r="DW6" i="30"/>
  <c r="DW13" i="30" s="1"/>
  <c r="DV6" i="30"/>
  <c r="DU6" i="30"/>
  <c r="DT6" i="30"/>
  <c r="DS6" i="30"/>
  <c r="DR6" i="30"/>
  <c r="DQ6" i="30"/>
  <c r="DP6" i="30"/>
  <c r="DO6" i="30"/>
  <c r="DO13" i="30" s="1"/>
  <c r="DN6" i="30"/>
  <c r="DM6" i="30"/>
  <c r="DL6" i="30"/>
  <c r="DK6" i="30"/>
  <c r="DJ6" i="30"/>
  <c r="DI6" i="30"/>
  <c r="DH6" i="30"/>
  <c r="DG6" i="30"/>
  <c r="DG13" i="30" s="1"/>
  <c r="DF6" i="30"/>
  <c r="DE6" i="30"/>
  <c r="DD6" i="30"/>
  <c r="DC6" i="30"/>
  <c r="DB6" i="30"/>
  <c r="DA6" i="30"/>
  <c r="CZ6" i="30"/>
  <c r="CY6" i="30"/>
  <c r="CY13" i="30" s="1"/>
  <c r="CX6" i="30"/>
  <c r="CW6" i="30"/>
  <c r="CV6" i="30"/>
  <c r="CU6" i="30"/>
  <c r="CT6" i="30"/>
  <c r="CS6" i="30"/>
  <c r="CR6" i="30"/>
  <c r="CQ6" i="30"/>
  <c r="CQ13" i="30" s="1"/>
  <c r="CP6" i="30"/>
  <c r="CO6" i="30"/>
  <c r="CN6" i="30"/>
  <c r="CM6" i="30"/>
  <c r="CL6" i="30"/>
  <c r="CK6" i="30"/>
  <c r="CJ6" i="30"/>
  <c r="CI6" i="30"/>
  <c r="CI13" i="30" s="1"/>
  <c r="CH6" i="30"/>
  <c r="CG6" i="30"/>
  <c r="CF6" i="30"/>
  <c r="CE6" i="30"/>
  <c r="CD6" i="30"/>
  <c r="CC6" i="30"/>
  <c r="CB6" i="30"/>
  <c r="CA6" i="30"/>
  <c r="BZ6" i="30"/>
  <c r="BY6" i="30"/>
  <c r="BX6" i="30"/>
  <c r="BW6" i="30"/>
  <c r="BV6" i="30"/>
  <c r="BU6" i="30"/>
  <c r="BT6" i="30"/>
  <c r="BS6" i="30"/>
  <c r="BR6" i="30"/>
  <c r="BQ6" i="30"/>
  <c r="BP6" i="30"/>
  <c r="BO6" i="30"/>
  <c r="BN6" i="30"/>
  <c r="BM6" i="30"/>
  <c r="BL6" i="30"/>
  <c r="BK6" i="30"/>
  <c r="BJ6" i="30"/>
  <c r="BI6" i="30"/>
  <c r="BH6" i="30"/>
  <c r="BG6" i="30"/>
  <c r="BF6" i="30"/>
  <c r="BE6" i="30"/>
  <c r="BD6" i="30"/>
  <c r="BC6" i="30"/>
  <c r="BB6" i="30"/>
  <c r="BA6" i="30"/>
  <c r="AZ6" i="30"/>
  <c r="AY6" i="30"/>
  <c r="AX6" i="30"/>
  <c r="AW6" i="30"/>
  <c r="AV6" i="30"/>
  <c r="AU6" i="30"/>
  <c r="AT6" i="30"/>
  <c r="AS6" i="30"/>
  <c r="AR6" i="30"/>
  <c r="AQ6" i="30"/>
  <c r="AP6" i="30"/>
  <c r="AO6" i="30"/>
  <c r="AN6" i="30"/>
  <c r="AM6" i="30"/>
  <c r="AL6" i="30"/>
  <c r="AK6" i="30"/>
  <c r="AJ6" i="30"/>
  <c r="AI6" i="30"/>
  <c r="AH6" i="30"/>
  <c r="AG6" i="30"/>
  <c r="AF6" i="30"/>
  <c r="AE6" i="30"/>
  <c r="AD6" i="30"/>
  <c r="AC6" i="30"/>
  <c r="AB6" i="30"/>
  <c r="AA6" i="30"/>
  <c r="Z6" i="30"/>
  <c r="Y6" i="30"/>
  <c r="X6" i="30"/>
  <c r="W6" i="30"/>
  <c r="V6" i="30"/>
  <c r="U6" i="30"/>
  <c r="T6" i="30"/>
  <c r="S6" i="30"/>
  <c r="R6" i="30"/>
  <c r="Q6" i="30"/>
  <c r="P6" i="30"/>
  <c r="U401" i="19"/>
  <c r="T401" i="19"/>
  <c r="S401" i="19"/>
  <c r="R401" i="19"/>
  <c r="Q401" i="19"/>
  <c r="P401" i="19"/>
  <c r="D410" i="19"/>
  <c r="D409" i="19"/>
  <c r="MO13" i="31" l="1"/>
  <c r="J26" i="19" l="1"/>
  <c r="U41" i="18"/>
  <c r="U45" i="18" s="1"/>
  <c r="U47" i="18" l="1"/>
  <c r="U46" i="18"/>
  <c r="U48" i="18" s="1"/>
  <c r="W5" i="18"/>
  <c r="T43" i="18"/>
  <c r="BD71" i="19" l="1"/>
  <c r="BE71" i="19"/>
  <c r="BD70" i="19"/>
  <c r="BE70" i="19"/>
  <c r="AH7" i="19"/>
  <c r="AI7" i="19"/>
  <c r="C7" i="19"/>
  <c r="E9" i="33"/>
  <c r="I9" i="33"/>
  <c r="M9" i="33"/>
  <c r="Q9" i="33"/>
  <c r="U9" i="33"/>
  <c r="Y6" i="33"/>
  <c r="F9" i="33" s="1"/>
  <c r="B6" i="33"/>
  <c r="W6" i="33"/>
  <c r="V6" i="33"/>
  <c r="U6" i="33"/>
  <c r="T6" i="33"/>
  <c r="S6" i="33"/>
  <c r="R6" i="33"/>
  <c r="Q6" i="33"/>
  <c r="P6" i="33"/>
  <c r="O6" i="33"/>
  <c r="N6" i="33"/>
  <c r="M6" i="33"/>
  <c r="L6" i="33"/>
  <c r="K6" i="33"/>
  <c r="J6" i="33"/>
  <c r="I6" i="33"/>
  <c r="H6" i="33"/>
  <c r="G6" i="33"/>
  <c r="F6" i="33"/>
  <c r="E6" i="33"/>
  <c r="D6" i="33"/>
  <c r="C6" i="33"/>
  <c r="X6" i="33"/>
  <c r="A10" i="33"/>
  <c r="A11" i="33"/>
  <c r="T9" i="33" l="1"/>
  <c r="P9" i="33"/>
  <c r="L9" i="33"/>
  <c r="H9" i="33"/>
  <c r="D9" i="33"/>
  <c r="B9" i="33"/>
  <c r="S9" i="33"/>
  <c r="O9" i="33"/>
  <c r="K9" i="33"/>
  <c r="G9" i="33"/>
  <c r="C9" i="33"/>
  <c r="V9" i="33"/>
  <c r="R9" i="33"/>
  <c r="N9" i="33"/>
  <c r="J9" i="33"/>
  <c r="C10" i="2" l="1"/>
  <c r="C5" i="2" s="1"/>
  <c r="D10" i="2"/>
  <c r="D5" i="2" s="1"/>
  <c r="B10" i="2"/>
  <c r="B5" i="2" s="1"/>
  <c r="R32" i="3" l="1"/>
  <c r="S32" i="3"/>
  <c r="T32" i="3"/>
  <c r="U32" i="3"/>
  <c r="R31" i="3"/>
  <c r="Q32" i="3" l="1"/>
  <c r="Y32" i="3"/>
  <c r="AC32" i="3" s="1"/>
  <c r="AG32" i="3" s="1"/>
  <c r="W55" i="3" s="1"/>
  <c r="W5" i="3" s="1"/>
  <c r="X32" i="3"/>
  <c r="AB32" i="3" s="1"/>
  <c r="AF32" i="3" s="1"/>
  <c r="W54" i="3" s="1"/>
  <c r="W4" i="3" s="1"/>
  <c r="V32" i="3"/>
  <c r="Z32" i="3" s="1"/>
  <c r="AD32" i="3" s="1"/>
  <c r="W53" i="3" s="1"/>
  <c r="W3" i="3" s="1"/>
  <c r="W32" i="3"/>
  <c r="AA32" i="3" s="1"/>
  <c r="AE32" i="3" s="1"/>
  <c r="W52" i="3" s="1"/>
  <c r="W2" i="3" s="1"/>
  <c r="W6" i="3" s="1"/>
  <c r="E5" i="2" l="1"/>
  <c r="F5" i="2"/>
  <c r="G5" i="2"/>
  <c r="H5" i="2"/>
  <c r="X5" i="9" l="1"/>
  <c r="U30" i="18"/>
  <c r="T30" i="18"/>
  <c r="V30" i="18" s="1"/>
  <c r="J382" i="19" l="1"/>
  <c r="AS22" i="19"/>
  <c r="W3" i="19" s="1"/>
  <c r="W21" i="20" s="1"/>
  <c r="AD35" i="24"/>
  <c r="AD34" i="24"/>
  <c r="AD8" i="24"/>
  <c r="AS25" i="19" l="1"/>
  <c r="W6" i="19" s="1"/>
  <c r="W20" i="20" s="1"/>
  <c r="W22" i="20" s="1"/>
  <c r="AD38" i="24"/>
  <c r="AD36" i="24"/>
  <c r="AE33" i="24"/>
  <c r="AE29" i="24"/>
  <c r="AE25" i="24"/>
  <c r="AE21" i="24"/>
  <c r="AE17" i="24"/>
  <c r="AE13" i="24"/>
  <c r="AE9" i="24"/>
  <c r="AE32" i="24"/>
  <c r="AE28" i="24"/>
  <c r="AE24" i="24"/>
  <c r="AE20" i="24"/>
  <c r="AE16" i="24"/>
  <c r="AE12" i="24"/>
  <c r="AE31" i="24"/>
  <c r="AE27" i="24"/>
  <c r="AE23" i="24"/>
  <c r="AE19" i="24"/>
  <c r="AE15" i="24"/>
  <c r="AE11" i="24"/>
  <c r="AE7" i="24"/>
  <c r="AE30" i="24"/>
  <c r="AE26" i="24"/>
  <c r="AE22" i="24"/>
  <c r="AE18" i="24"/>
  <c r="AE14" i="24"/>
  <c r="AS21" i="19"/>
  <c r="W2" i="19" s="1"/>
  <c r="AS26" i="19"/>
  <c r="AS23" i="19"/>
  <c r="W4" i="19" s="1"/>
  <c r="W19" i="20" s="1"/>
  <c r="AS24" i="19"/>
  <c r="W5" i="19" s="1"/>
  <c r="AE34" i="24"/>
  <c r="AD37" i="24"/>
  <c r="AE37" i="24"/>
  <c r="X41" i="24" s="1"/>
  <c r="AE10" i="24" l="1"/>
  <c r="AE8" i="24"/>
  <c r="X2" i="24"/>
  <c r="V9" i="27"/>
  <c r="V10" i="27" s="1"/>
  <c r="V11" i="27" s="1"/>
  <c r="I5" i="2"/>
  <c r="J5" i="2"/>
  <c r="K5" i="2"/>
  <c r="L5" i="2"/>
  <c r="M5" i="2"/>
  <c r="N5" i="2"/>
  <c r="O5" i="2"/>
  <c r="P5" i="2"/>
  <c r="Q5" i="2"/>
  <c r="R5" i="2"/>
  <c r="S5" i="2"/>
  <c r="T5" i="2"/>
  <c r="U5" i="2"/>
  <c r="V5" i="2"/>
  <c r="C7" i="25" l="1"/>
  <c r="X71" i="19" l="1"/>
  <c r="B7" i="19" s="1"/>
  <c r="AR69" i="19"/>
  <c r="AS70" i="19" s="1"/>
  <c r="AS71" i="19" s="1"/>
  <c r="W7" i="19" s="1"/>
  <c r="Y71" i="19"/>
  <c r="Z71" i="19"/>
  <c r="D7" i="19" s="1"/>
  <c r="AA71" i="19"/>
  <c r="E7" i="19" s="1"/>
  <c r="AB71" i="19"/>
  <c r="F7" i="19" s="1"/>
  <c r="AC71" i="19"/>
  <c r="G7" i="19" s="1"/>
  <c r="AD71" i="19"/>
  <c r="H7" i="19" s="1"/>
  <c r="AE71" i="19"/>
  <c r="I7" i="19" s="1"/>
  <c r="AF71" i="19"/>
  <c r="J7" i="19" s="1"/>
  <c r="AG71" i="19"/>
  <c r="K7" i="19" s="1"/>
  <c r="AH71" i="19"/>
  <c r="L7" i="19" s="1"/>
  <c r="AI71" i="19"/>
  <c r="M7" i="19" s="1"/>
  <c r="AJ71" i="19"/>
  <c r="N7" i="19" s="1"/>
  <c r="AK71" i="19"/>
  <c r="O7" i="19" s="1"/>
  <c r="AL71" i="19"/>
  <c r="P7" i="19" s="1"/>
  <c r="AM71" i="19"/>
  <c r="Q7" i="19" s="1"/>
  <c r="AN71" i="19"/>
  <c r="R7" i="19" s="1"/>
  <c r="AO71" i="19"/>
  <c r="S7" i="19" s="1"/>
  <c r="AP71" i="19"/>
  <c r="T7" i="19" s="1"/>
  <c r="AQ71" i="19"/>
  <c r="U7" i="19" s="1"/>
  <c r="AR71" i="19"/>
  <c r="V7" i="19" s="1"/>
  <c r="BC70" i="19" l="1"/>
  <c r="BC71" i="19" s="1"/>
  <c r="AG7" i="19" s="1"/>
  <c r="AX70" i="19"/>
  <c r="AX71" i="19" s="1"/>
  <c r="AB7" i="19" s="1"/>
  <c r="BB70" i="19"/>
  <c r="BB71" i="19" s="1"/>
  <c r="AF7" i="19" s="1"/>
  <c r="AV70" i="19"/>
  <c r="AV71" i="19" s="1"/>
  <c r="Z7" i="19" s="1"/>
  <c r="AZ70" i="19"/>
  <c r="AZ71" i="19" s="1"/>
  <c r="AD7" i="19" s="1"/>
  <c r="AU70" i="19"/>
  <c r="AU71" i="19" s="1"/>
  <c r="Y7" i="19" s="1"/>
  <c r="AY70" i="19"/>
  <c r="AY71" i="19" s="1"/>
  <c r="AC7" i="19" s="1"/>
  <c r="AT70" i="19"/>
  <c r="AT71" i="19" s="1"/>
  <c r="X7" i="19" s="1"/>
  <c r="BA70" i="19"/>
  <c r="BA71" i="19" s="1"/>
  <c r="AE7" i="19" s="1"/>
  <c r="AW70" i="19"/>
  <c r="AW71" i="19" s="1"/>
  <c r="AA7" i="19" s="1"/>
  <c r="C15" i="22" l="1"/>
  <c r="D23" i="22" s="1"/>
  <c r="E23" i="22" s="1"/>
  <c r="U29" i="22" s="1"/>
  <c r="U2" i="22" s="1"/>
  <c r="E13" i="22"/>
  <c r="E12" i="22"/>
  <c r="E11" i="22"/>
  <c r="E10" i="22"/>
  <c r="E9" i="22"/>
  <c r="E8" i="22"/>
  <c r="E7" i="22"/>
  <c r="L2" i="22"/>
  <c r="K2" i="22"/>
  <c r="J2" i="22"/>
  <c r="I2" i="22"/>
  <c r="H2" i="22"/>
  <c r="G2" i="22"/>
  <c r="F2" i="22"/>
  <c r="E2" i="22"/>
  <c r="D2" i="22"/>
  <c r="C2" i="22"/>
  <c r="B2" i="22"/>
  <c r="D16" i="22" l="1"/>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Q28" i="25" l="1"/>
  <c r="Q27" i="25"/>
  <c r="R27" i="25" s="1"/>
  <c r="AO2" i="25" s="1"/>
  <c r="C45" i="18"/>
  <c r="D45" i="18"/>
  <c r="E5" i="18"/>
  <c r="B5" i="18"/>
  <c r="B2" i="18"/>
  <c r="W17" i="18"/>
  <c r="Z34" i="24"/>
  <c r="X34" i="24"/>
  <c r="V34" i="24"/>
  <c r="T34" i="24"/>
  <c r="R34" i="24"/>
  <c r="P34" i="24"/>
  <c r="N34" i="24"/>
  <c r="L34" i="24"/>
  <c r="J34" i="24"/>
  <c r="H34" i="24"/>
  <c r="F34" i="24"/>
  <c r="C2" i="2" l="1"/>
  <c r="D2" i="2"/>
  <c r="E2" i="2"/>
  <c r="F2" i="2"/>
  <c r="G2" i="2"/>
  <c r="H2" i="2"/>
  <c r="I2" i="2"/>
  <c r="J2" i="2"/>
  <c r="K2" i="2"/>
  <c r="L2" i="2"/>
  <c r="M2" i="2"/>
  <c r="N2" i="2"/>
  <c r="O2" i="2"/>
  <c r="P2" i="2"/>
  <c r="Q2" i="2"/>
  <c r="R2" i="2"/>
  <c r="S2" i="2"/>
  <c r="T2" i="2"/>
  <c r="U2" i="2"/>
  <c r="V2" i="2"/>
  <c r="W2" i="2"/>
  <c r="B2" i="2"/>
  <c r="B33" i="2"/>
  <c r="W3" i="2" l="1"/>
  <c r="W27" i="2" l="1"/>
  <c r="L27" i="2"/>
  <c r="W4" i="2" l="1"/>
  <c r="E6" i="18" l="1"/>
  <c r="L34" i="19"/>
  <c r="O33" i="19" s="1"/>
  <c r="L35" i="19"/>
  <c r="K35" i="19"/>
  <c r="K34" i="19"/>
  <c r="L33" i="19"/>
  <c r="O34" i="19" s="1"/>
  <c r="K33" i="19"/>
  <c r="O36" i="19" s="1"/>
  <c r="J35" i="19"/>
  <c r="O32" i="19" s="1"/>
  <c r="J34" i="19"/>
  <c r="O35" i="19" s="1"/>
  <c r="J33" i="19"/>
  <c r="J24" i="19"/>
  <c r="T45" i="18"/>
  <c r="S45" i="18"/>
  <c r="N38" i="18"/>
  <c r="B21" i="20" l="1"/>
  <c r="C21" i="20"/>
  <c r="D21" i="20"/>
  <c r="B20" i="20"/>
  <c r="C20" i="20"/>
  <c r="D20" i="20"/>
  <c r="C53" i="2" l="1"/>
  <c r="B53" i="2"/>
  <c r="B49" i="2"/>
  <c r="D34" i="2" l="1"/>
  <c r="D35" i="2"/>
  <c r="D36" i="2"/>
  <c r="D37" i="2"/>
  <c r="D38" i="2"/>
  <c r="D39" i="2"/>
  <c r="D40" i="2"/>
  <c r="D41" i="2"/>
  <c r="D42" i="2"/>
  <c r="D33" i="2"/>
  <c r="C34" i="2"/>
  <c r="C35" i="2"/>
  <c r="C36" i="2"/>
  <c r="C37" i="2"/>
  <c r="C38" i="2"/>
  <c r="C39" i="2"/>
  <c r="C40" i="2"/>
  <c r="C41" i="2"/>
  <c r="C42" i="2"/>
  <c r="C33" i="2"/>
  <c r="B34" i="2"/>
  <c r="B35" i="2"/>
  <c r="B36" i="2"/>
  <c r="B37" i="2"/>
  <c r="B38" i="2"/>
  <c r="B39" i="2"/>
  <c r="B40" i="2"/>
  <c r="B41" i="2"/>
  <c r="B42" i="2"/>
  <c r="B43" i="2" l="1"/>
  <c r="B17" i="2" s="1"/>
  <c r="C43" i="2"/>
  <c r="C17" i="2" s="1"/>
  <c r="D43" i="2"/>
  <c r="D17" i="2" s="1"/>
  <c r="K8" i="27" l="1"/>
  <c r="L8" i="27"/>
  <c r="M8" i="27"/>
  <c r="N8" i="27"/>
  <c r="P8" i="27"/>
  <c r="R8" i="27"/>
  <c r="F8" i="27"/>
  <c r="F11" i="27" s="1"/>
  <c r="G8" i="27"/>
  <c r="G11" i="27" s="1"/>
  <c r="H8" i="27"/>
  <c r="H11" i="27" s="1"/>
  <c r="I8" i="27"/>
  <c r="I11" i="27" s="1"/>
  <c r="J8" i="27"/>
  <c r="C8" i="27"/>
  <c r="C11" i="27" s="1"/>
  <c r="D8" i="27"/>
  <c r="D11" i="27" s="1"/>
  <c r="E8" i="27"/>
  <c r="E11" i="27" s="1"/>
  <c r="B8" i="27"/>
  <c r="B11" i="27" s="1"/>
  <c r="B13" i="27" l="1"/>
  <c r="V13" i="27"/>
  <c r="F13" i="27"/>
  <c r="E13" i="27"/>
  <c r="V12" i="27"/>
  <c r="I13" i="27"/>
  <c r="D13" i="27"/>
  <c r="H13" i="27"/>
  <c r="C13" i="27"/>
  <c r="G13" i="27"/>
  <c r="D12" i="27"/>
  <c r="C12" i="27"/>
  <c r="G12" i="27"/>
  <c r="B12" i="27"/>
  <c r="F12" i="27"/>
  <c r="H12" i="27"/>
  <c r="E12" i="27"/>
  <c r="I12" i="27"/>
  <c r="H8" i="25"/>
  <c r="H9" i="25"/>
  <c r="H10" i="25"/>
  <c r="H11" i="25"/>
  <c r="H12" i="25"/>
  <c r="H13" i="25"/>
  <c r="H14" i="25"/>
  <c r="H15" i="25"/>
  <c r="H16" i="25"/>
  <c r="H17" i="25"/>
  <c r="H18" i="25"/>
  <c r="H19" i="25"/>
  <c r="H20" i="25"/>
  <c r="H21" i="25"/>
  <c r="H22" i="25"/>
  <c r="G8" i="25"/>
  <c r="B22" i="20"/>
  <c r="C22" i="20"/>
  <c r="D22" i="20"/>
  <c r="D19" i="20"/>
  <c r="C19" i="20"/>
  <c r="B4" i="19"/>
  <c r="C5" i="18"/>
  <c r="D5" i="18"/>
  <c r="C2" i="18"/>
  <c r="D2" i="18"/>
  <c r="B3" i="2"/>
  <c r="C3" i="2"/>
  <c r="D3" i="2"/>
  <c r="B4" i="2"/>
  <c r="C4" i="2"/>
  <c r="D4" i="2"/>
  <c r="U11" i="3"/>
  <c r="U12" i="3"/>
  <c r="U13" i="3"/>
  <c r="T11" i="3"/>
  <c r="T12" i="3"/>
  <c r="T13" i="3"/>
  <c r="S11" i="3"/>
  <c r="S12" i="3"/>
  <c r="S13" i="3"/>
  <c r="R11" i="3"/>
  <c r="R12" i="3"/>
  <c r="R13" i="3"/>
  <c r="B2" i="24"/>
  <c r="C2" i="24"/>
  <c r="D2" i="24"/>
  <c r="Q11" i="3" l="1"/>
  <c r="C2" i="27"/>
  <c r="R28" i="25"/>
  <c r="AP2" i="25" s="1"/>
  <c r="C22" i="25"/>
  <c r="I2" i="27"/>
  <c r="F2" i="27"/>
  <c r="G2" i="27"/>
  <c r="D2" i="27"/>
  <c r="H2" i="27"/>
  <c r="Q13" i="3"/>
  <c r="E2" i="27"/>
  <c r="B19" i="20"/>
  <c r="X11" i="3"/>
  <c r="AB11" i="3" s="1"/>
  <c r="AF11" i="3" s="1"/>
  <c r="B54" i="3" s="1"/>
  <c r="B4" i="3" s="1"/>
  <c r="V11" i="3"/>
  <c r="Z11" i="3" s="1"/>
  <c r="AD11" i="3" s="1"/>
  <c r="B53" i="3" s="1"/>
  <c r="B3" i="3" s="1"/>
  <c r="X13" i="3"/>
  <c r="AB13" i="3" s="1"/>
  <c r="AF13" i="3" s="1"/>
  <c r="D54" i="3" s="1"/>
  <c r="D4" i="3" s="1"/>
  <c r="Y12" i="3"/>
  <c r="W13" i="3"/>
  <c r="AA13" i="3" s="1"/>
  <c r="AE13" i="3" s="1"/>
  <c r="D52" i="3" s="1"/>
  <c r="D2" i="3" s="1"/>
  <c r="X12" i="3"/>
  <c r="AB12" i="3" s="1"/>
  <c r="AF12" i="3" s="1"/>
  <c r="C54" i="3" s="1"/>
  <c r="C4" i="3" s="1"/>
  <c r="Y11" i="3"/>
  <c r="V13" i="3"/>
  <c r="Z13" i="3" s="1"/>
  <c r="AD13" i="3" s="1"/>
  <c r="D53" i="3" s="1"/>
  <c r="D3" i="3" s="1"/>
  <c r="W12" i="3"/>
  <c r="AA12" i="3" s="1"/>
  <c r="AE12" i="3" s="1"/>
  <c r="C52" i="3" s="1"/>
  <c r="C2" i="3" s="1"/>
  <c r="Q12" i="3"/>
  <c r="V12" i="3"/>
  <c r="Z12" i="3" s="1"/>
  <c r="AD12" i="3" s="1"/>
  <c r="C53" i="3" s="1"/>
  <c r="C3" i="3" s="1"/>
  <c r="W11" i="3"/>
  <c r="AA11" i="3" s="1"/>
  <c r="AE11" i="3" s="1"/>
  <c r="B52" i="3" s="1"/>
  <c r="B2" i="3" s="1"/>
  <c r="Y13" i="3"/>
  <c r="AC13" i="3" s="1"/>
  <c r="AG13" i="3" s="1"/>
  <c r="D55" i="3" s="1"/>
  <c r="D5" i="3" s="1"/>
  <c r="D3" i="23"/>
  <c r="B3" i="23"/>
  <c r="D6" i="3" l="1"/>
  <c r="AC11" i="3"/>
  <c r="AG11" i="3" s="1"/>
  <c r="B55" i="3" s="1"/>
  <c r="B5" i="3" s="1"/>
  <c r="B6" i="3" s="1"/>
  <c r="AC12" i="3"/>
  <c r="AG12" i="3" s="1"/>
  <c r="C55" i="3" s="1"/>
  <c r="C5" i="3" s="1"/>
  <c r="C6" i="3" s="1"/>
  <c r="D35" i="24"/>
  <c r="E2" i="24" l="1"/>
  <c r="F2" i="24"/>
  <c r="G2" i="24"/>
  <c r="H2" i="24"/>
  <c r="I2" i="24"/>
  <c r="V27" i="2"/>
  <c r="Z36" i="24"/>
  <c r="X36" i="24"/>
  <c r="V36" i="24"/>
  <c r="T36" i="24"/>
  <c r="R36" i="24"/>
  <c r="P36" i="24"/>
  <c r="N36" i="24"/>
  <c r="L36" i="24"/>
  <c r="J36" i="24"/>
  <c r="H36" i="24"/>
  <c r="F36" i="24"/>
  <c r="D36" i="24"/>
  <c r="B36" i="24"/>
  <c r="V4" i="2" l="1"/>
  <c r="V3" i="2"/>
  <c r="Z35" i="24" l="1"/>
  <c r="X35" i="24"/>
  <c r="V35" i="24"/>
  <c r="T35" i="24"/>
  <c r="R35" i="24"/>
  <c r="P35" i="24"/>
  <c r="N35" i="24"/>
  <c r="L35" i="24"/>
  <c r="L37" i="24" s="1"/>
  <c r="M37" i="24" s="1"/>
  <c r="O41" i="24" s="1"/>
  <c r="J35" i="24"/>
  <c r="H35" i="24"/>
  <c r="F35" i="24"/>
  <c r="D37" i="24"/>
  <c r="E37" i="24" s="1"/>
  <c r="K41" i="24" s="1"/>
  <c r="Z38" i="24"/>
  <c r="X38" i="24"/>
  <c r="V38" i="24"/>
  <c r="T38" i="24"/>
  <c r="R38" i="24"/>
  <c r="P38" i="24"/>
  <c r="N38" i="24"/>
  <c r="L38" i="24"/>
  <c r="J38" i="24"/>
  <c r="H38" i="24"/>
  <c r="F38" i="24"/>
  <c r="D38" i="24"/>
  <c r="B38" i="24"/>
  <c r="B35" i="24"/>
  <c r="P37" i="24" l="1"/>
  <c r="Q37" i="24" s="1"/>
  <c r="Q41" i="24" s="1"/>
  <c r="Q34" i="24"/>
  <c r="T37" i="24"/>
  <c r="U37" i="24" s="1"/>
  <c r="S41" i="24" s="1"/>
  <c r="U34" i="24"/>
  <c r="F37" i="24"/>
  <c r="G37" i="24" s="1"/>
  <c r="L41" i="24" s="1"/>
  <c r="G34" i="24"/>
  <c r="N37" i="24"/>
  <c r="O37" i="24" s="1"/>
  <c r="P41" i="24" s="1"/>
  <c r="O34" i="24"/>
  <c r="V37" i="24"/>
  <c r="W37" i="24" s="1"/>
  <c r="T41" i="24" s="1"/>
  <c r="W34" i="24"/>
  <c r="AB34" i="24"/>
  <c r="H37" i="24"/>
  <c r="I37" i="24" s="1"/>
  <c r="M41" i="24" s="1"/>
  <c r="I34" i="24"/>
  <c r="X37" i="24"/>
  <c r="Y37" i="24" s="1"/>
  <c r="U41" i="24" s="1"/>
  <c r="Y34" i="24"/>
  <c r="J37" i="24"/>
  <c r="K37" i="24" s="1"/>
  <c r="N41" i="24" s="1"/>
  <c r="K34" i="24"/>
  <c r="R37" i="24"/>
  <c r="S37" i="24" s="1"/>
  <c r="R41" i="24" s="1"/>
  <c r="S34" i="24"/>
  <c r="Z37" i="24"/>
  <c r="AA37" i="24" s="1"/>
  <c r="V41" i="24" s="1"/>
  <c r="AA34" i="24"/>
  <c r="Q2" i="24"/>
  <c r="K2" i="24"/>
  <c r="O2" i="24"/>
  <c r="U2" i="24"/>
  <c r="R2" i="24"/>
  <c r="L2" i="24"/>
  <c r="T2" i="24"/>
  <c r="AB36" i="24"/>
  <c r="B37" i="24"/>
  <c r="C37" i="24" s="1"/>
  <c r="J41" i="24" s="1"/>
  <c r="Q23" i="24"/>
  <c r="Q36" i="24"/>
  <c r="Y23" i="24"/>
  <c r="Y36" i="24"/>
  <c r="C23" i="24"/>
  <c r="C36" i="24"/>
  <c r="K23" i="24"/>
  <c r="K36" i="24"/>
  <c r="S23" i="24"/>
  <c r="S36" i="24"/>
  <c r="AA15" i="24"/>
  <c r="AA36" i="24"/>
  <c r="I16" i="24"/>
  <c r="I36" i="24"/>
  <c r="E21" i="24"/>
  <c r="E36" i="24"/>
  <c r="M23" i="24"/>
  <c r="M36" i="24"/>
  <c r="U23" i="24"/>
  <c r="U36" i="24"/>
  <c r="G13" i="24"/>
  <c r="G36" i="24"/>
  <c r="O23" i="24"/>
  <c r="O36" i="24"/>
  <c r="W23" i="24"/>
  <c r="W36" i="24"/>
  <c r="Q35" i="24"/>
  <c r="O33" i="24"/>
  <c r="Y14" i="24"/>
  <c r="Y35" i="24"/>
  <c r="Y10" i="24"/>
  <c r="Q31" i="24"/>
  <c r="Q27" i="24"/>
  <c r="G25" i="24"/>
  <c r="O9" i="24"/>
  <c r="Y29" i="24"/>
  <c r="O26" i="24"/>
  <c r="O15" i="24"/>
  <c r="Y25" i="24"/>
  <c r="K32" i="24"/>
  <c r="K19" i="24"/>
  <c r="M27" i="24"/>
  <c r="M16" i="24"/>
  <c r="U33" i="24"/>
  <c r="U25" i="24"/>
  <c r="U18" i="24"/>
  <c r="U10" i="24"/>
  <c r="K28" i="24"/>
  <c r="K13" i="24"/>
  <c r="M26" i="24"/>
  <c r="M12" i="24"/>
  <c r="O31" i="24"/>
  <c r="O25" i="24"/>
  <c r="O17" i="24"/>
  <c r="O11" i="24"/>
  <c r="U32" i="24"/>
  <c r="U24" i="24"/>
  <c r="U19" i="24"/>
  <c r="U8" i="24"/>
  <c r="K35" i="24"/>
  <c r="G17" i="24"/>
  <c r="K24" i="24"/>
  <c r="M7" i="24"/>
  <c r="O7" i="24"/>
  <c r="O30" i="24"/>
  <c r="O18" i="24"/>
  <c r="O10" i="24"/>
  <c r="S27" i="24"/>
  <c r="U29" i="24"/>
  <c r="U21" i="24"/>
  <c r="U14" i="24"/>
  <c r="Y33" i="24"/>
  <c r="Y21" i="24"/>
  <c r="K9" i="24"/>
  <c r="M31" i="24"/>
  <c r="M20" i="24"/>
  <c r="O35" i="24"/>
  <c r="O28" i="24"/>
  <c r="O22" i="24"/>
  <c r="O16" i="24"/>
  <c r="Q7" i="24"/>
  <c r="S20" i="24"/>
  <c r="U28" i="24"/>
  <c r="U9" i="24"/>
  <c r="U13" i="24"/>
  <c r="Y32" i="24"/>
  <c r="Y18" i="24"/>
  <c r="AB35" i="24"/>
  <c r="AA29" i="24"/>
  <c r="AA35" i="24"/>
  <c r="AA27" i="24"/>
  <c r="AA20" i="24"/>
  <c r="AA12" i="24"/>
  <c r="AA23" i="24"/>
  <c r="AA7" i="24"/>
  <c r="AA26" i="24"/>
  <c r="AA17" i="24"/>
  <c r="AA11" i="24"/>
  <c r="AA21" i="24"/>
  <c r="AA14" i="24"/>
  <c r="AA28" i="24"/>
  <c r="AA9" i="24"/>
  <c r="AA13" i="24"/>
  <c r="AA33" i="24"/>
  <c r="AA25" i="24"/>
  <c r="AA18" i="24"/>
  <c r="AA10" i="24"/>
  <c r="AA32" i="24"/>
  <c r="AA24" i="24"/>
  <c r="AA19" i="24"/>
  <c r="AA8" i="24"/>
  <c r="AA31" i="24"/>
  <c r="AA16" i="24"/>
  <c r="AA30" i="24"/>
  <c r="AA22" i="24"/>
  <c r="Y24" i="24"/>
  <c r="Y19" i="24"/>
  <c r="Y8" i="24"/>
  <c r="Y30" i="24"/>
  <c r="Y22" i="24"/>
  <c r="Y15" i="24"/>
  <c r="Y9" i="24"/>
  <c r="Y7" i="24"/>
  <c r="Y27" i="24"/>
  <c r="Y20" i="24"/>
  <c r="Y12" i="24"/>
  <c r="Y28" i="24"/>
  <c r="Y13" i="24"/>
  <c r="Y26" i="24"/>
  <c r="Y17" i="24"/>
  <c r="Y11" i="24"/>
  <c r="Y31" i="24"/>
  <c r="Y16" i="24"/>
  <c r="W29" i="24"/>
  <c r="W14" i="24"/>
  <c r="W28" i="24"/>
  <c r="W13" i="24"/>
  <c r="W35" i="24"/>
  <c r="W26" i="24"/>
  <c r="W17" i="24"/>
  <c r="W11" i="24"/>
  <c r="W33" i="24"/>
  <c r="W25" i="24"/>
  <c r="W18" i="24"/>
  <c r="W10" i="24"/>
  <c r="W32" i="24"/>
  <c r="W24" i="24"/>
  <c r="W19" i="24"/>
  <c r="W8" i="24"/>
  <c r="W31" i="24"/>
  <c r="W16" i="24"/>
  <c r="W30" i="24"/>
  <c r="W22" i="24"/>
  <c r="W15" i="24"/>
  <c r="W21" i="24"/>
  <c r="W9" i="24"/>
  <c r="W7" i="24"/>
  <c r="W27" i="24"/>
  <c r="W20" i="24"/>
  <c r="W12" i="24"/>
  <c r="U30" i="24"/>
  <c r="U22" i="24"/>
  <c r="U15" i="24"/>
  <c r="U27" i="24"/>
  <c r="U20" i="24"/>
  <c r="U12" i="24"/>
  <c r="U35" i="24"/>
  <c r="U7" i="24"/>
  <c r="U26" i="24"/>
  <c r="U17" i="24"/>
  <c r="U11" i="24"/>
  <c r="U31" i="24"/>
  <c r="U16" i="24"/>
  <c r="S12" i="24"/>
  <c r="S7" i="24"/>
  <c r="S26" i="24"/>
  <c r="S17" i="24"/>
  <c r="S11" i="24"/>
  <c r="S33" i="24"/>
  <c r="S25" i="24"/>
  <c r="S18" i="24"/>
  <c r="S10" i="24"/>
  <c r="S35" i="24"/>
  <c r="S19" i="24"/>
  <c r="S31" i="24"/>
  <c r="S16" i="24"/>
  <c r="S32" i="24"/>
  <c r="S30" i="24"/>
  <c r="S22" i="24"/>
  <c r="S15" i="24"/>
  <c r="S8" i="24"/>
  <c r="S29" i="24"/>
  <c r="S21" i="24"/>
  <c r="S14" i="24"/>
  <c r="S24" i="24"/>
  <c r="S28" i="24"/>
  <c r="S9" i="24"/>
  <c r="S13" i="24"/>
  <c r="Q32" i="24"/>
  <c r="Q24" i="24"/>
  <c r="Q19" i="24"/>
  <c r="Q8" i="24"/>
  <c r="Q16" i="24"/>
  <c r="Q30" i="24"/>
  <c r="Q22" i="24"/>
  <c r="Q15" i="24"/>
  <c r="Q29" i="24"/>
  <c r="Q21" i="24"/>
  <c r="Q14" i="24"/>
  <c r="Q28" i="24"/>
  <c r="Q9" i="24"/>
  <c r="Q13" i="24"/>
  <c r="Q20" i="24"/>
  <c r="Q26" i="24"/>
  <c r="Q17" i="24"/>
  <c r="Q11" i="24"/>
  <c r="Q12" i="24"/>
  <c r="Q33" i="24"/>
  <c r="Q25" i="24"/>
  <c r="Q18" i="24"/>
  <c r="Q10" i="24"/>
  <c r="O13" i="24"/>
  <c r="O27" i="24"/>
  <c r="O20" i="24"/>
  <c r="O12" i="24"/>
  <c r="O32" i="24"/>
  <c r="O24" i="24"/>
  <c r="O19" i="24"/>
  <c r="O8" i="24"/>
  <c r="O29" i="24"/>
  <c r="O21" i="24"/>
  <c r="O14" i="24"/>
  <c r="M32" i="24"/>
  <c r="M24" i="24"/>
  <c r="M19" i="24"/>
  <c r="M8" i="24"/>
  <c r="M30" i="24"/>
  <c r="M15" i="24"/>
  <c r="M29" i="24"/>
  <c r="M21" i="24"/>
  <c r="M14" i="24"/>
  <c r="M22" i="24"/>
  <c r="M28" i="24"/>
  <c r="M9" i="24"/>
  <c r="M13" i="24"/>
  <c r="M17" i="24"/>
  <c r="M11" i="24"/>
  <c r="M33" i="24"/>
  <c r="M25" i="24"/>
  <c r="M18" i="24"/>
  <c r="M10" i="24"/>
  <c r="M35" i="24"/>
  <c r="K16" i="24"/>
  <c r="K29" i="24"/>
  <c r="K21" i="24"/>
  <c r="K14" i="24"/>
  <c r="K20" i="24"/>
  <c r="K7" i="24"/>
  <c r="K26" i="24"/>
  <c r="K17" i="24"/>
  <c r="K11" i="24"/>
  <c r="K27" i="24"/>
  <c r="K12" i="24"/>
  <c r="K33" i="24"/>
  <c r="K25" i="24"/>
  <c r="K18" i="24"/>
  <c r="K10" i="24"/>
  <c r="K8" i="24"/>
  <c r="K31" i="24"/>
  <c r="K30" i="24"/>
  <c r="K22" i="24"/>
  <c r="K15" i="24"/>
  <c r="I23" i="24"/>
  <c r="G23" i="24"/>
  <c r="G20" i="24"/>
  <c r="G12" i="24"/>
  <c r="E23" i="24"/>
  <c r="AB38" i="24"/>
  <c r="G7" i="24"/>
  <c r="G18" i="24"/>
  <c r="G35" i="24"/>
  <c r="G33" i="24"/>
  <c r="G11" i="24"/>
  <c r="G27" i="24"/>
  <c r="G10" i="24"/>
  <c r="G26" i="24"/>
  <c r="E31" i="24"/>
  <c r="E30" i="24"/>
  <c r="E22" i="24"/>
  <c r="E16" i="24"/>
  <c r="E15" i="24"/>
  <c r="E14" i="24"/>
  <c r="E29" i="24"/>
  <c r="I28" i="24"/>
  <c r="I9" i="24"/>
  <c r="I13" i="24"/>
  <c r="I7" i="24"/>
  <c r="I27" i="24"/>
  <c r="I20" i="24"/>
  <c r="I12" i="24"/>
  <c r="I30" i="24"/>
  <c r="I15" i="24"/>
  <c r="I29" i="24"/>
  <c r="I14" i="24"/>
  <c r="I35" i="24"/>
  <c r="I26" i="24"/>
  <c r="I11" i="24"/>
  <c r="I25" i="24"/>
  <c r="I10" i="24"/>
  <c r="I32" i="24"/>
  <c r="I24" i="24"/>
  <c r="I19" i="24"/>
  <c r="I8" i="24"/>
  <c r="I22" i="24"/>
  <c r="I21" i="24"/>
  <c r="I17" i="24"/>
  <c r="I33" i="24"/>
  <c r="I18" i="24"/>
  <c r="I31" i="24"/>
  <c r="G32" i="24"/>
  <c r="G24" i="24"/>
  <c r="G19" i="24"/>
  <c r="G8" i="24"/>
  <c r="G31" i="24"/>
  <c r="G16" i="24"/>
  <c r="G30" i="24"/>
  <c r="G22" i="24"/>
  <c r="G15" i="24"/>
  <c r="G29" i="24"/>
  <c r="G21" i="24"/>
  <c r="G14" i="24"/>
  <c r="G28" i="24"/>
  <c r="G9" i="24"/>
  <c r="E12" i="24"/>
  <c r="E28" i="24"/>
  <c r="E9" i="24"/>
  <c r="E13" i="24"/>
  <c r="E7" i="24"/>
  <c r="E27" i="24"/>
  <c r="E20" i="24"/>
  <c r="E35" i="24"/>
  <c r="E26" i="24"/>
  <c r="E17" i="24"/>
  <c r="E11" i="24"/>
  <c r="E33" i="24"/>
  <c r="E25" i="24"/>
  <c r="E18" i="24"/>
  <c r="E10" i="24"/>
  <c r="E32" i="24"/>
  <c r="E24" i="24"/>
  <c r="E19" i="24"/>
  <c r="E8" i="24"/>
  <c r="C11" i="24"/>
  <c r="C17" i="24"/>
  <c r="C26" i="24"/>
  <c r="C7" i="24"/>
  <c r="C12" i="24"/>
  <c r="C20" i="24"/>
  <c r="C27" i="24"/>
  <c r="C13" i="24"/>
  <c r="C9" i="24"/>
  <c r="C28" i="24"/>
  <c r="C14" i="24"/>
  <c r="C29" i="24"/>
  <c r="C15" i="24"/>
  <c r="C22" i="24"/>
  <c r="C30" i="24"/>
  <c r="C33" i="24"/>
  <c r="C16" i="24"/>
  <c r="C31" i="24"/>
  <c r="C8" i="24"/>
  <c r="C19" i="24"/>
  <c r="C24" i="24"/>
  <c r="C32" i="24"/>
  <c r="C10" i="24"/>
  <c r="C18" i="24"/>
  <c r="C25" i="24"/>
  <c r="C35" i="24"/>
  <c r="C21" i="24"/>
  <c r="J17" i="19"/>
  <c r="H17" i="19"/>
  <c r="G17" i="19"/>
  <c r="AC31" i="24" l="1"/>
  <c r="AE36" i="24"/>
  <c r="AE35" i="24"/>
  <c r="P2" i="24"/>
  <c r="N2" i="24"/>
  <c r="S2" i="24"/>
  <c r="M2" i="24"/>
  <c r="V2" i="24"/>
  <c r="AB37" i="24"/>
  <c r="AC37" i="24" s="1"/>
  <c r="W41" i="24" s="1"/>
  <c r="AC34" i="24"/>
  <c r="AC36" i="24"/>
  <c r="J2" i="24"/>
  <c r="AC11" i="24"/>
  <c r="AC23" i="24"/>
  <c r="AC19" i="24"/>
  <c r="AC8" i="24"/>
  <c r="AC24" i="24"/>
  <c r="AC26" i="24"/>
  <c r="AC10" i="24"/>
  <c r="AC7" i="24"/>
  <c r="AC18" i="24"/>
  <c r="AC12" i="24"/>
  <c r="AC13" i="24"/>
  <c r="AC16" i="24"/>
  <c r="AC9" i="24"/>
  <c r="AC27" i="24"/>
  <c r="AC15" i="24"/>
  <c r="AC25" i="24"/>
  <c r="AC20" i="24"/>
  <c r="AC32" i="24"/>
  <c r="AC14" i="24"/>
  <c r="AC22" i="24"/>
  <c r="AC33" i="24"/>
  <c r="AC21" i="24"/>
  <c r="AC30" i="24"/>
  <c r="AC35" i="24"/>
  <c r="AC17" i="24"/>
  <c r="AC29" i="24"/>
  <c r="AC28" i="24"/>
  <c r="W2" i="24" l="1"/>
  <c r="T31" i="3" l="1"/>
  <c r="U31" i="3"/>
  <c r="S31" i="3"/>
  <c r="V29" i="18"/>
  <c r="V5" i="18"/>
  <c r="V6" i="18"/>
  <c r="T39" i="18"/>
  <c r="T47" i="18" s="1"/>
  <c r="V8" i="18" s="1"/>
  <c r="S39" i="18"/>
  <c r="S47" i="18" s="1"/>
  <c r="T38" i="18"/>
  <c r="T46" i="18" s="1"/>
  <c r="V7" i="18" s="1"/>
  <c r="S38" i="18"/>
  <c r="S46" i="18" s="1"/>
  <c r="Q31" i="3" l="1"/>
  <c r="Y31" i="3"/>
  <c r="AC31" i="3" s="1"/>
  <c r="AG31" i="3" s="1"/>
  <c r="V55" i="3" s="1"/>
  <c r="V5" i="3" s="1"/>
  <c r="V31" i="3"/>
  <c r="Z31" i="3" s="1"/>
  <c r="AD31" i="3" s="1"/>
  <c r="V53" i="3" s="1"/>
  <c r="V3" i="3" s="1"/>
  <c r="X31" i="3"/>
  <c r="AB31" i="3" s="1"/>
  <c r="AF31" i="3" s="1"/>
  <c r="V54" i="3" s="1"/>
  <c r="V4" i="3" s="1"/>
  <c r="W31" i="3"/>
  <c r="AA31" i="3" s="1"/>
  <c r="AE31" i="3" s="1"/>
  <c r="T48" i="18"/>
  <c r="E45" i="18"/>
  <c r="L29" i="18"/>
  <c r="J29" i="18"/>
  <c r="I29" i="18"/>
  <c r="G27" i="18"/>
  <c r="G29" i="18"/>
  <c r="K29" i="18" s="1"/>
  <c r="S43" i="18"/>
  <c r="V52" i="3" l="1"/>
  <c r="V2" i="3" s="1"/>
  <c r="V6" i="3" s="1"/>
  <c r="J380" i="19"/>
  <c r="U380" i="19" s="1"/>
  <c r="AR26" i="19" s="1"/>
  <c r="K380" i="19"/>
  <c r="L380" i="19"/>
  <c r="J381" i="19"/>
  <c r="K381" i="19"/>
  <c r="L381" i="19"/>
  <c r="Q380" i="19" s="1"/>
  <c r="AR22" i="19" s="1"/>
  <c r="V3" i="19" s="1"/>
  <c r="K382" i="19"/>
  <c r="L382" i="19"/>
  <c r="V21" i="20" l="1"/>
  <c r="M382" i="19"/>
  <c r="K383" i="19"/>
  <c r="L384" i="19"/>
  <c r="AZ24" i="19" s="1"/>
  <c r="R380" i="19"/>
  <c r="AR23" i="19" s="1"/>
  <c r="V4" i="19" s="1"/>
  <c r="T380" i="19"/>
  <c r="AR25" i="19" s="1"/>
  <c r="V6" i="19" s="1"/>
  <c r="J383" i="19"/>
  <c r="L383" i="19"/>
  <c r="P380" i="19"/>
  <c r="AR21" i="19" s="1"/>
  <c r="V2" i="19" s="1"/>
  <c r="M380" i="19"/>
  <c r="K384" i="19"/>
  <c r="AY24" i="19" s="1"/>
  <c r="J384" i="19"/>
  <c r="AX24" i="19" s="1"/>
  <c r="S380" i="19"/>
  <c r="AR24" i="19" s="1"/>
  <c r="V5" i="19" s="1"/>
  <c r="M381" i="19"/>
  <c r="N381" i="19"/>
  <c r="J386" i="19"/>
  <c r="BD24" i="19" s="1"/>
  <c r="K386" i="19"/>
  <c r="BE24" i="19" s="1"/>
  <c r="V8" i="19" s="1"/>
  <c r="V20" i="20" l="1"/>
  <c r="V22" i="20" s="1"/>
  <c r="V19" i="20"/>
  <c r="BA24" i="19"/>
  <c r="V9" i="19" s="1"/>
  <c r="U10" i="27" l="1"/>
  <c r="M10" i="27"/>
  <c r="M11" i="27" s="1"/>
  <c r="M13" i="27" s="1"/>
  <c r="N10" i="27"/>
  <c r="N11" i="27" s="1"/>
  <c r="N13" i="27" s="1"/>
  <c r="O10" i="27"/>
  <c r="O11" i="27" s="1"/>
  <c r="O13" i="27" s="1"/>
  <c r="P10" i="27"/>
  <c r="P11" i="27" s="1"/>
  <c r="P13" i="27" s="1"/>
  <c r="Q10" i="27"/>
  <c r="Q11" i="27" s="1"/>
  <c r="Q13" i="27" s="1"/>
  <c r="R10" i="27"/>
  <c r="R11" i="27" s="1"/>
  <c r="R13" i="27" s="1"/>
  <c r="S10" i="27"/>
  <c r="S11" i="27" s="1"/>
  <c r="S13" i="27" s="1"/>
  <c r="T10" i="27"/>
  <c r="T11" i="27" s="1"/>
  <c r="L10" i="27"/>
  <c r="L11" i="27" s="1"/>
  <c r="L13" i="27" s="1"/>
  <c r="K10" i="27"/>
  <c r="K11" i="27" s="1"/>
  <c r="K13" i="27" s="1"/>
  <c r="J10" i="27"/>
  <c r="J11" i="27" s="1"/>
  <c r="J13" i="27" s="1"/>
  <c r="T13" i="27" l="1"/>
  <c r="K2" i="27"/>
  <c r="K12" i="27"/>
  <c r="L2" i="27"/>
  <c r="L12" i="27"/>
  <c r="P2" i="27"/>
  <c r="P12" i="27"/>
  <c r="U11" i="27"/>
  <c r="U13" i="27" s="1"/>
  <c r="R2" i="27"/>
  <c r="R12" i="27"/>
  <c r="N2" i="27"/>
  <c r="N12" i="27"/>
  <c r="Q2" i="27"/>
  <c r="Q12" i="27"/>
  <c r="M2" i="27"/>
  <c r="M12" i="27"/>
  <c r="J2" i="27"/>
  <c r="J12" i="27"/>
  <c r="S2" i="27"/>
  <c r="S12" i="27"/>
  <c r="O2" i="27"/>
  <c r="O12" i="27"/>
  <c r="T12" i="27"/>
  <c r="Q11" i="25"/>
  <c r="Q12" i="25"/>
  <c r="Q13" i="25"/>
  <c r="Q14" i="25"/>
  <c r="Q15" i="25"/>
  <c r="Q16" i="25"/>
  <c r="Q17" i="25"/>
  <c r="R17" i="25" s="1"/>
  <c r="AE2" i="25" s="1"/>
  <c r="Q18" i="25"/>
  <c r="Q19" i="25"/>
  <c r="Q20" i="25"/>
  <c r="Q21" i="25"/>
  <c r="R21" i="25" s="1"/>
  <c r="AI2" i="25" s="1"/>
  <c r="Q22" i="25"/>
  <c r="Q23" i="25"/>
  <c r="Q24" i="25"/>
  <c r="Q25" i="25"/>
  <c r="Q26" i="25"/>
  <c r="Q10" i="25"/>
  <c r="T2" i="27" l="1"/>
  <c r="U2" i="27"/>
  <c r="U12" i="27"/>
  <c r="E3" i="9"/>
  <c r="F3" i="9"/>
  <c r="G3" i="9"/>
  <c r="H3" i="9"/>
  <c r="I3" i="9"/>
  <c r="E2" i="9"/>
  <c r="S72" i="9" l="1"/>
  <c r="U4" i="9" s="1"/>
  <c r="S52" i="9"/>
  <c r="S71" i="9" s="1"/>
  <c r="U3" i="9" s="1"/>
  <c r="S51" i="9"/>
  <c r="T70" i="9"/>
  <c r="V2" i="9" s="1"/>
  <c r="T71" i="9"/>
  <c r="V3" i="9" s="1"/>
  <c r="T72" i="9"/>
  <c r="V4" i="9" s="1"/>
  <c r="R72" i="9"/>
  <c r="T4" i="9" s="1"/>
  <c r="R52" i="9"/>
  <c r="R71" i="9" s="1"/>
  <c r="T3" i="9" s="1"/>
  <c r="R51" i="9"/>
  <c r="R70" i="9" s="1"/>
  <c r="T2" i="9" s="1"/>
  <c r="R54" i="9" l="1"/>
  <c r="T5" i="9"/>
  <c r="V5" i="9"/>
  <c r="S54" i="9"/>
  <c r="S70" i="9"/>
  <c r="U2" i="9" s="1"/>
  <c r="U5" i="9" s="1"/>
  <c r="G70" i="9"/>
  <c r="I2" i="9" s="1"/>
  <c r="I71" i="9"/>
  <c r="K3" i="9" s="1"/>
  <c r="I70" i="9"/>
  <c r="K2" i="9" s="1"/>
  <c r="D70" i="9"/>
  <c r="F2" i="9" s="1"/>
  <c r="I19" i="9"/>
  <c r="H19" i="9"/>
  <c r="G19" i="9"/>
  <c r="D9" i="9"/>
  <c r="U3" i="23" l="1"/>
  <c r="U70" i="9" l="1"/>
  <c r="W2" i="9" s="1"/>
  <c r="U71" i="9"/>
  <c r="W3" i="9" s="1"/>
  <c r="U72" i="9"/>
  <c r="W4" i="9" s="1"/>
  <c r="W5" i="9" l="1"/>
  <c r="U73" i="9"/>
  <c r="U67" i="9"/>
  <c r="V28" i="18" l="1"/>
  <c r="L28" i="18"/>
  <c r="J28" i="18"/>
  <c r="I28" i="18"/>
  <c r="G28" i="18"/>
  <c r="K28" i="18" s="1"/>
  <c r="V27" i="18"/>
  <c r="L27" i="18"/>
  <c r="J27" i="18"/>
  <c r="I27" i="18"/>
  <c r="K27" i="18"/>
  <c r="V26" i="18"/>
  <c r="L26" i="18"/>
  <c r="J26" i="18"/>
  <c r="I26" i="18"/>
  <c r="G26" i="18"/>
  <c r="K26" i="18" s="1"/>
  <c r="I25" i="18"/>
  <c r="I24" i="18"/>
  <c r="W23" i="18"/>
  <c r="L23" i="18"/>
  <c r="J23" i="18"/>
  <c r="I23" i="18"/>
  <c r="G23" i="18"/>
  <c r="K23" i="18" s="1"/>
  <c r="I22" i="18"/>
  <c r="W21" i="18"/>
  <c r="L21" i="18"/>
  <c r="J21" i="18"/>
  <c r="I21" i="18"/>
  <c r="G21" i="18"/>
  <c r="K21" i="18" s="1"/>
  <c r="I20" i="18"/>
  <c r="W19" i="18"/>
  <c r="L19" i="18"/>
  <c r="J19" i="18"/>
  <c r="I19" i="18"/>
  <c r="G19" i="18"/>
  <c r="K19" i="18" s="1"/>
  <c r="I18" i="18"/>
  <c r="L17" i="18"/>
  <c r="J17" i="18"/>
  <c r="I17" i="18"/>
  <c r="G17" i="18"/>
  <c r="K17" i="18" s="1"/>
  <c r="I16" i="18"/>
  <c r="L15" i="18"/>
  <c r="J15" i="18"/>
  <c r="I15" i="18"/>
  <c r="G15" i="18"/>
  <c r="K15" i="18" s="1"/>
  <c r="I14" i="18"/>
  <c r="L13" i="18"/>
  <c r="J13" i="18"/>
  <c r="I13" i="18"/>
  <c r="G13" i="18"/>
  <c r="K13" i="18" s="1"/>
  <c r="V31" i="18" l="1"/>
  <c r="V4" i="18" s="1"/>
  <c r="V3" i="18" s="1"/>
  <c r="W31" i="18"/>
  <c r="E4" i="18" s="1"/>
  <c r="E3" i="18" s="1"/>
  <c r="Q4" i="18"/>
  <c r="Q3" i="18" s="1"/>
  <c r="B4" i="18" l="1"/>
  <c r="H4" i="18"/>
  <c r="H3" i="18" s="1"/>
  <c r="W4" i="18"/>
  <c r="W3" i="18" s="1"/>
  <c r="O4" i="18"/>
  <c r="O3" i="18" s="1"/>
  <c r="D4" i="18"/>
  <c r="D3" i="18" s="1"/>
  <c r="C4" i="18"/>
  <c r="C3" i="18" s="1"/>
  <c r="B3" i="18"/>
  <c r="L4" i="18"/>
  <c r="L3" i="18" s="1"/>
  <c r="F4" i="18"/>
  <c r="F3" i="18" s="1"/>
  <c r="J4" i="18"/>
  <c r="J3" i="18" s="1"/>
  <c r="P4" i="18"/>
  <c r="P3" i="18" s="1"/>
  <c r="N4" i="18"/>
  <c r="N3" i="18" s="1"/>
  <c r="I4" i="18"/>
  <c r="I3" i="18" s="1"/>
  <c r="K4" i="18"/>
  <c r="K3" i="18" s="1"/>
  <c r="M4" i="18"/>
  <c r="M3" i="18" s="1"/>
  <c r="G4" i="18"/>
  <c r="G3" i="18" s="1"/>
  <c r="R4" i="18"/>
  <c r="R3" i="18" s="1"/>
  <c r="U4" i="18"/>
  <c r="U3" i="18" s="1"/>
  <c r="S4" i="18"/>
  <c r="S3" i="18" s="1"/>
  <c r="T4" i="18"/>
  <c r="T3" i="18" s="1"/>
  <c r="T27" i="2" l="1"/>
  <c r="U27" i="2"/>
  <c r="M27" i="2"/>
  <c r="N27" i="2"/>
  <c r="O27" i="2"/>
  <c r="P27" i="2"/>
  <c r="Q27" i="2"/>
  <c r="R27" i="2"/>
  <c r="S27" i="2"/>
  <c r="U3" i="2" l="1"/>
  <c r="T3" i="2"/>
  <c r="S3" i="2"/>
  <c r="O3" i="2"/>
  <c r="P3" i="2"/>
  <c r="Q3" i="2"/>
  <c r="R3" i="2"/>
  <c r="F3" i="2"/>
  <c r="G3" i="2"/>
  <c r="H3" i="2"/>
  <c r="I3" i="2"/>
  <c r="J3" i="2"/>
  <c r="K3" i="2"/>
  <c r="L3" i="2"/>
  <c r="M3" i="2"/>
  <c r="N3" i="2"/>
  <c r="E3" i="2"/>
  <c r="E4" i="2" l="1"/>
  <c r="F4" i="2"/>
  <c r="G4" i="2"/>
  <c r="H4" i="2"/>
  <c r="I4" i="2"/>
  <c r="J4" i="2"/>
  <c r="K4" i="2"/>
  <c r="F5" i="18" l="1"/>
  <c r="G5" i="18"/>
  <c r="H5" i="18"/>
  <c r="I5" i="18"/>
  <c r="J5" i="18"/>
  <c r="K5" i="18"/>
  <c r="L5" i="18"/>
  <c r="M5" i="18"/>
  <c r="N5" i="18"/>
  <c r="O5" i="18"/>
  <c r="P5" i="18"/>
  <c r="Q5" i="18"/>
  <c r="R5" i="18"/>
  <c r="S5" i="18"/>
  <c r="T5" i="18"/>
  <c r="U5" i="18"/>
  <c r="B6" i="18"/>
  <c r="Q47" i="9" l="1"/>
  <c r="R22" i="25" l="1"/>
  <c r="AJ2" i="25" s="1"/>
  <c r="G22" i="25"/>
  <c r="G21" i="25"/>
  <c r="G20" i="25"/>
  <c r="G19" i="25"/>
  <c r="C18" i="25"/>
  <c r="R18" i="25" s="1"/>
  <c r="AF2" i="25" s="1"/>
  <c r="G18" i="25"/>
  <c r="G17" i="25"/>
  <c r="G16" i="25"/>
  <c r="G15" i="25"/>
  <c r="G14" i="25"/>
  <c r="G13" i="25"/>
  <c r="G12" i="25"/>
  <c r="G11" i="25"/>
  <c r="G10" i="25"/>
  <c r="G9" i="25"/>
  <c r="C19" i="25" l="1"/>
  <c r="R19" i="25" s="1"/>
  <c r="AG2" i="25" s="1"/>
  <c r="C23" i="25"/>
  <c r="R23" i="25" s="1"/>
  <c r="AK2" i="25" s="1"/>
  <c r="C24" i="25" l="1"/>
  <c r="R24" i="25" s="1"/>
  <c r="AL2" i="25" s="1"/>
  <c r="C20" i="25"/>
  <c r="R20" i="25" s="1"/>
  <c r="AH2" i="25" s="1"/>
  <c r="C25" i="25" l="1"/>
  <c r="R25" i="25" l="1"/>
  <c r="AM2" i="25" s="1"/>
  <c r="C26" i="25"/>
  <c r="R26" i="25" s="1"/>
  <c r="AN2" i="25" s="1"/>
  <c r="L362" i="19" l="1"/>
  <c r="K362" i="19"/>
  <c r="J362" i="19"/>
  <c r="L361" i="19"/>
  <c r="Q360" i="19" s="1"/>
  <c r="AQ22" i="19" s="1"/>
  <c r="U3" i="19" s="1"/>
  <c r="K361" i="19"/>
  <c r="J361" i="19"/>
  <c r="L360" i="19"/>
  <c r="K360" i="19"/>
  <c r="S360" i="19" s="1"/>
  <c r="AQ24" i="19" s="1"/>
  <c r="U5" i="19" s="1"/>
  <c r="J360" i="19"/>
  <c r="U360" i="19" s="1"/>
  <c r="AQ26" i="19" s="1"/>
  <c r="L341" i="19"/>
  <c r="K341" i="19"/>
  <c r="J341" i="19"/>
  <c r="L340" i="19"/>
  <c r="K340" i="19"/>
  <c r="J340" i="19"/>
  <c r="AP57" i="19" s="1"/>
  <c r="L339" i="19"/>
  <c r="P339" i="19" s="1"/>
  <c r="AP21" i="19" s="1"/>
  <c r="K339" i="19"/>
  <c r="S339" i="19" s="1"/>
  <c r="AP24" i="19" s="1"/>
  <c r="T5" i="19" s="1"/>
  <c r="J339" i="19"/>
  <c r="L320" i="19"/>
  <c r="K320" i="19"/>
  <c r="J320" i="19"/>
  <c r="L319" i="19"/>
  <c r="K319" i="19"/>
  <c r="J319" i="19"/>
  <c r="L318" i="19"/>
  <c r="K318" i="19"/>
  <c r="J318" i="19"/>
  <c r="L299" i="19"/>
  <c r="K299" i="19"/>
  <c r="J299" i="19"/>
  <c r="AN59" i="19" s="1"/>
  <c r="L298" i="19"/>
  <c r="Q297" i="19" s="1"/>
  <c r="AN22" i="19" s="1"/>
  <c r="R3" i="19" s="1"/>
  <c r="K298" i="19"/>
  <c r="J298" i="19"/>
  <c r="L297" i="19"/>
  <c r="K297" i="19"/>
  <c r="S297" i="19" s="1"/>
  <c r="AN24" i="19" s="1"/>
  <c r="R5" i="19" s="1"/>
  <c r="J297" i="19"/>
  <c r="L278" i="19"/>
  <c r="K278" i="19"/>
  <c r="J278" i="19"/>
  <c r="AM59" i="19" s="1"/>
  <c r="L277" i="19"/>
  <c r="Q276" i="19" s="1"/>
  <c r="AM22" i="19" s="1"/>
  <c r="Q3" i="19" s="1"/>
  <c r="K277" i="19"/>
  <c r="J277" i="19"/>
  <c r="L276" i="19"/>
  <c r="K276" i="19"/>
  <c r="S276" i="19" s="1"/>
  <c r="AM24" i="19" s="1"/>
  <c r="Q5" i="19" s="1"/>
  <c r="J276" i="19"/>
  <c r="U276" i="19" s="1"/>
  <c r="AM26" i="19" s="1"/>
  <c r="L257" i="19"/>
  <c r="K257" i="19"/>
  <c r="J257" i="19"/>
  <c r="L256" i="19"/>
  <c r="Q255" i="19" s="1"/>
  <c r="AL22" i="19" s="1"/>
  <c r="P3" i="19" s="1"/>
  <c r="K256" i="19"/>
  <c r="J256" i="19"/>
  <c r="L255" i="19"/>
  <c r="K255" i="19"/>
  <c r="J255" i="19"/>
  <c r="L236" i="19"/>
  <c r="K236" i="19"/>
  <c r="J236" i="19"/>
  <c r="L235" i="19"/>
  <c r="K235" i="19"/>
  <c r="J235" i="19"/>
  <c r="AK57" i="19" s="1"/>
  <c r="L234" i="19"/>
  <c r="K234" i="19"/>
  <c r="J234" i="19"/>
  <c r="L215" i="19"/>
  <c r="K215" i="19"/>
  <c r="J215" i="19"/>
  <c r="L214" i="19"/>
  <c r="Q213" i="19" s="1"/>
  <c r="AJ22" i="19" s="1"/>
  <c r="N3" i="19" s="1"/>
  <c r="K214" i="19"/>
  <c r="J214" i="19"/>
  <c r="L213" i="19"/>
  <c r="K213" i="19"/>
  <c r="S213" i="19" s="1"/>
  <c r="AJ24" i="19" s="1"/>
  <c r="N5" i="19" s="1"/>
  <c r="J213" i="19"/>
  <c r="L194" i="19"/>
  <c r="K194" i="19"/>
  <c r="J194" i="19"/>
  <c r="AI59" i="19" s="1"/>
  <c r="L193" i="19"/>
  <c r="Q192" i="19" s="1"/>
  <c r="AI22" i="19" s="1"/>
  <c r="M3" i="19" s="1"/>
  <c r="K193" i="19"/>
  <c r="J193" i="19"/>
  <c r="L192" i="19"/>
  <c r="K192" i="19"/>
  <c r="S192" i="19" s="1"/>
  <c r="AI24" i="19" s="1"/>
  <c r="M5" i="19" s="1"/>
  <c r="J192" i="19"/>
  <c r="U192" i="19" s="1"/>
  <c r="AI26" i="19" s="1"/>
  <c r="L173" i="19"/>
  <c r="K173" i="19"/>
  <c r="J173" i="19"/>
  <c r="AH59" i="19" s="1"/>
  <c r="L172" i="19"/>
  <c r="Q171" i="19" s="1"/>
  <c r="AH22" i="19" s="1"/>
  <c r="L3" i="19" s="1"/>
  <c r="K172" i="19"/>
  <c r="J172" i="19"/>
  <c r="AH57" i="19" s="1"/>
  <c r="L171" i="19"/>
  <c r="P171" i="19" s="1"/>
  <c r="AH21" i="19" s="1"/>
  <c r="K171" i="19"/>
  <c r="J171" i="19"/>
  <c r="L152" i="19"/>
  <c r="K152" i="19"/>
  <c r="J152" i="19"/>
  <c r="L151" i="19"/>
  <c r="Q150" i="19" s="1"/>
  <c r="AG22" i="19" s="1"/>
  <c r="K3" i="19" s="1"/>
  <c r="K151" i="19"/>
  <c r="J151" i="19"/>
  <c r="L150" i="19"/>
  <c r="K150" i="19"/>
  <c r="J150" i="19"/>
  <c r="L131" i="19"/>
  <c r="K131" i="19"/>
  <c r="J131" i="19"/>
  <c r="L130" i="19"/>
  <c r="Q129" i="19" s="1"/>
  <c r="AF22" i="19" s="1"/>
  <c r="J3" i="19" s="1"/>
  <c r="K130" i="19"/>
  <c r="J130" i="19"/>
  <c r="L129" i="19"/>
  <c r="K129" i="19"/>
  <c r="S129" i="19" s="1"/>
  <c r="AF24" i="19" s="1"/>
  <c r="J5" i="19" s="1"/>
  <c r="J129" i="19"/>
  <c r="L110" i="19"/>
  <c r="K110" i="19"/>
  <c r="J110" i="19"/>
  <c r="AE59" i="19" s="1"/>
  <c r="L109" i="19"/>
  <c r="Q108" i="19" s="1"/>
  <c r="AE22" i="19" s="1"/>
  <c r="I3" i="19" s="1"/>
  <c r="K109" i="19"/>
  <c r="J109" i="19"/>
  <c r="L108" i="19"/>
  <c r="K108" i="19"/>
  <c r="S108" i="19" s="1"/>
  <c r="AE24" i="19" s="1"/>
  <c r="I5" i="19" s="1"/>
  <c r="J108" i="19"/>
  <c r="U108" i="19" s="1"/>
  <c r="AE26" i="19" s="1"/>
  <c r="L89" i="19"/>
  <c r="K89" i="19"/>
  <c r="J89" i="19"/>
  <c r="L88" i="19"/>
  <c r="K88" i="19"/>
  <c r="J88" i="19"/>
  <c r="L87" i="19"/>
  <c r="P87" i="19" s="1"/>
  <c r="AD21" i="19" s="1"/>
  <c r="K87" i="19"/>
  <c r="J87" i="19"/>
  <c r="U87" i="19" s="1"/>
  <c r="AD26" i="19" s="1"/>
  <c r="L68" i="19"/>
  <c r="K68" i="19"/>
  <c r="J68" i="19"/>
  <c r="AC59" i="19" s="1"/>
  <c r="L67" i="19"/>
  <c r="Q66" i="19" s="1"/>
  <c r="AC22" i="19" s="1"/>
  <c r="G3" i="19" s="1"/>
  <c r="K67" i="19"/>
  <c r="J67" i="19"/>
  <c r="L66" i="19"/>
  <c r="P66" i="19" s="1"/>
  <c r="AC21" i="19" s="1"/>
  <c r="G2" i="19" s="1"/>
  <c r="K66" i="19"/>
  <c r="S66" i="19" s="1"/>
  <c r="AC24" i="19" s="1"/>
  <c r="G5" i="19" s="1"/>
  <c r="J66" i="19"/>
  <c r="U66" i="19" s="1"/>
  <c r="AC26" i="19" s="1"/>
  <c r="AF57" i="19"/>
  <c r="L47" i="19"/>
  <c r="K47" i="19"/>
  <c r="J47" i="19"/>
  <c r="L46" i="19"/>
  <c r="K46" i="19"/>
  <c r="J46" i="19"/>
  <c r="AB57" i="19" s="1"/>
  <c r="L45" i="19"/>
  <c r="P45" i="19" s="1"/>
  <c r="AB21" i="19" s="1"/>
  <c r="F2" i="19" s="1"/>
  <c r="K45" i="19"/>
  <c r="J45" i="19"/>
  <c r="L26" i="19"/>
  <c r="K26" i="19"/>
  <c r="L25" i="19"/>
  <c r="Q24" i="19" s="1"/>
  <c r="AA22" i="19" s="1"/>
  <c r="E3" i="19" s="1"/>
  <c r="K25" i="19"/>
  <c r="J25" i="19"/>
  <c r="AA57" i="19" s="1"/>
  <c r="L24" i="19"/>
  <c r="K24" i="19"/>
  <c r="S24" i="19" s="1"/>
  <c r="AA24" i="19" s="1"/>
  <c r="E5" i="19" s="1"/>
  <c r="U24" i="19"/>
  <c r="AA26" i="19" s="1"/>
  <c r="K30" i="19" l="1"/>
  <c r="BE5" i="19" s="1"/>
  <c r="N130" i="19"/>
  <c r="N298" i="19"/>
  <c r="AL58" i="19"/>
  <c r="I21" i="20"/>
  <c r="J21" i="20"/>
  <c r="AO56" i="19"/>
  <c r="N319" i="19"/>
  <c r="N340" i="19"/>
  <c r="E21" i="20"/>
  <c r="AB56" i="19"/>
  <c r="AB60" i="19" s="1"/>
  <c r="N46" i="19"/>
  <c r="L21" i="20"/>
  <c r="AI56" i="19"/>
  <c r="N193" i="19"/>
  <c r="AQ56" i="19"/>
  <c r="N361" i="19"/>
  <c r="K21" i="20"/>
  <c r="M21" i="20"/>
  <c r="U21" i="20"/>
  <c r="N67" i="19"/>
  <c r="N21" i="20"/>
  <c r="AK56" i="19"/>
  <c r="AK60" i="19" s="1"/>
  <c r="N235" i="19"/>
  <c r="Q21" i="20"/>
  <c r="AG56" i="19"/>
  <c r="N151" i="19"/>
  <c r="R21" i="20"/>
  <c r="AA56" i="19"/>
  <c r="N25" i="19"/>
  <c r="AH56" i="19"/>
  <c r="AH60" i="19" s="1"/>
  <c r="N172" i="19"/>
  <c r="AJ56" i="19"/>
  <c r="N214" i="19"/>
  <c r="G21" i="20"/>
  <c r="AD56" i="19"/>
  <c r="N88" i="19"/>
  <c r="N256" i="19"/>
  <c r="AE56" i="19"/>
  <c r="N109" i="19"/>
  <c r="P21" i="20"/>
  <c r="AM56" i="19"/>
  <c r="N277" i="19"/>
  <c r="T297" i="19"/>
  <c r="AN25" i="19" s="1"/>
  <c r="R6" i="19" s="1"/>
  <c r="T129" i="19"/>
  <c r="AF25" i="19" s="1"/>
  <c r="J6" i="19" s="1"/>
  <c r="AO58" i="19"/>
  <c r="AE58" i="19"/>
  <c r="AE61" i="19" s="1"/>
  <c r="AI58" i="19"/>
  <c r="AI61" i="19" s="1"/>
  <c r="K90" i="19"/>
  <c r="M67" i="19"/>
  <c r="AC58" i="19"/>
  <c r="AC61" i="19" s="1"/>
  <c r="AG58" i="19"/>
  <c r="M257" i="19"/>
  <c r="M297" i="19"/>
  <c r="J324" i="19"/>
  <c r="BD21" i="19" s="1"/>
  <c r="R24" i="19"/>
  <c r="AA23" i="19" s="1"/>
  <c r="E4" i="19" s="1"/>
  <c r="T150" i="19"/>
  <c r="AG25" i="19" s="1"/>
  <c r="K6" i="19" s="1"/>
  <c r="AK58" i="19"/>
  <c r="K300" i="19"/>
  <c r="T2" i="19"/>
  <c r="L2" i="19"/>
  <c r="H2" i="19"/>
  <c r="J49" i="19"/>
  <c r="AX6" i="19" s="1"/>
  <c r="AF56" i="19"/>
  <c r="AF60" i="19" s="1"/>
  <c r="M171" i="19"/>
  <c r="J217" i="19"/>
  <c r="AX16" i="19" s="1"/>
  <c r="J240" i="19"/>
  <c r="BD17" i="19" s="1"/>
  <c r="M362" i="19"/>
  <c r="AB58" i="19"/>
  <c r="R150" i="19"/>
  <c r="AG23" i="19" s="1"/>
  <c r="K4" i="19" s="1"/>
  <c r="J219" i="19"/>
  <c r="BD16" i="19" s="1"/>
  <c r="R234" i="19"/>
  <c r="AK23" i="19" s="1"/>
  <c r="O4" i="19" s="1"/>
  <c r="K321" i="19"/>
  <c r="J342" i="19"/>
  <c r="AP58" i="19"/>
  <c r="J366" i="19"/>
  <c r="BD23" i="19" s="1"/>
  <c r="AQ58" i="19"/>
  <c r="AA58" i="19"/>
  <c r="J135" i="19"/>
  <c r="BD12" i="19" s="1"/>
  <c r="L153" i="19"/>
  <c r="J322" i="19"/>
  <c r="AX21" i="19" s="1"/>
  <c r="J30" i="19"/>
  <c r="BD5" i="19" s="1"/>
  <c r="T24" i="19"/>
  <c r="AA25" i="19" s="1"/>
  <c r="E6" i="19" s="1"/>
  <c r="K174" i="19"/>
  <c r="J261" i="19"/>
  <c r="BD18" i="19" s="1"/>
  <c r="AJ57" i="19"/>
  <c r="AJ60" i="19" s="1"/>
  <c r="J133" i="19"/>
  <c r="AX12" i="19" s="1"/>
  <c r="M151" i="19"/>
  <c r="AO57" i="19"/>
  <c r="AQ59" i="19"/>
  <c r="K324" i="19"/>
  <c r="BE21" i="19" s="1"/>
  <c r="S8" i="19" s="1"/>
  <c r="M45" i="19"/>
  <c r="AN56" i="19"/>
  <c r="K114" i="19"/>
  <c r="BE9" i="19" s="1"/>
  <c r="I8" i="19" s="1"/>
  <c r="L132" i="19"/>
  <c r="K177" i="19"/>
  <c r="BE14" i="19" s="1"/>
  <c r="L8" i="19" s="1"/>
  <c r="J198" i="19"/>
  <c r="BD15" i="19" s="1"/>
  <c r="L216" i="19"/>
  <c r="L280" i="19"/>
  <c r="AZ19" i="19" s="1"/>
  <c r="M319" i="19"/>
  <c r="K345" i="19"/>
  <c r="BE22" i="19" s="1"/>
  <c r="T8" i="19" s="1"/>
  <c r="L90" i="19"/>
  <c r="AL59" i="19"/>
  <c r="R66" i="19"/>
  <c r="AC23" i="19" s="1"/>
  <c r="M89" i="19"/>
  <c r="M173" i="19"/>
  <c r="L301" i="19"/>
  <c r="AZ20" i="19" s="1"/>
  <c r="K322" i="19"/>
  <c r="AY21" i="19" s="1"/>
  <c r="M341" i="19"/>
  <c r="K48" i="19"/>
  <c r="L342" i="19"/>
  <c r="AG57" i="19"/>
  <c r="AG60" i="19" s="1"/>
  <c r="AH58" i="19"/>
  <c r="AH61" i="19" s="1"/>
  <c r="M194" i="19"/>
  <c r="T213" i="19"/>
  <c r="AJ25" i="19" s="1"/>
  <c r="N6" i="19" s="1"/>
  <c r="L237" i="19"/>
  <c r="K282" i="19"/>
  <c r="BE19" i="19" s="1"/>
  <c r="Q8" i="19" s="1"/>
  <c r="M318" i="19"/>
  <c r="T234" i="19"/>
  <c r="AK25" i="19" s="1"/>
  <c r="O6" i="19" s="1"/>
  <c r="K240" i="19"/>
  <c r="BE17" i="19" s="1"/>
  <c r="O8" i="19" s="1"/>
  <c r="M298" i="19"/>
  <c r="AM58" i="19"/>
  <c r="AM61" i="19" s="1"/>
  <c r="K133" i="19"/>
  <c r="AY12" i="19" s="1"/>
  <c r="L279" i="19"/>
  <c r="L27" i="19"/>
  <c r="L321" i="19"/>
  <c r="L91" i="19"/>
  <c r="AZ8" i="19" s="1"/>
  <c r="K217" i="19"/>
  <c r="AY16" i="19" s="1"/>
  <c r="AD58" i="19"/>
  <c r="L133" i="19"/>
  <c r="AZ12" i="19" s="1"/>
  <c r="L217" i="19"/>
  <c r="AZ16" i="19" s="1"/>
  <c r="K156" i="19"/>
  <c r="BE13" i="19" s="1"/>
  <c r="K8" i="19" s="1"/>
  <c r="K258" i="19"/>
  <c r="Q318" i="19"/>
  <c r="AO22" i="19" s="1"/>
  <c r="S3" i="19" s="1"/>
  <c r="L343" i="19"/>
  <c r="AZ22" i="19" s="1"/>
  <c r="T45" i="19"/>
  <c r="AB25" i="19" s="1"/>
  <c r="F6" i="19" s="1"/>
  <c r="J51" i="19"/>
  <c r="BD6" i="19" s="1"/>
  <c r="R87" i="19"/>
  <c r="AD23" i="19" s="1"/>
  <c r="H4" i="19" s="1"/>
  <c r="K112" i="19"/>
  <c r="AY9" i="19" s="1"/>
  <c r="M150" i="19"/>
  <c r="S171" i="19"/>
  <c r="AH24" i="19" s="1"/>
  <c r="L5" i="19" s="1"/>
  <c r="K196" i="19"/>
  <c r="AY15" i="19" s="1"/>
  <c r="M234" i="19"/>
  <c r="M235" i="19"/>
  <c r="M255" i="19"/>
  <c r="L259" i="19"/>
  <c r="AZ18" i="19" s="1"/>
  <c r="J301" i="19"/>
  <c r="AX20" i="19" s="1"/>
  <c r="R318" i="19"/>
  <c r="AO23" i="19" s="1"/>
  <c r="S4" i="19" s="1"/>
  <c r="L322" i="19"/>
  <c r="AZ21" i="19" s="1"/>
  <c r="K72" i="19"/>
  <c r="BE7" i="19" s="1"/>
  <c r="G8" i="19" s="1"/>
  <c r="K198" i="19"/>
  <c r="BE15" i="19" s="1"/>
  <c r="M8" i="19" s="1"/>
  <c r="M278" i="19"/>
  <c r="L49" i="19"/>
  <c r="AZ6" i="19" s="1"/>
  <c r="AJ59" i="19"/>
  <c r="J258" i="19"/>
  <c r="K366" i="19"/>
  <c r="BE23" i="19" s="1"/>
  <c r="U8" i="19" s="1"/>
  <c r="K49" i="19"/>
  <c r="AY6" i="19" s="1"/>
  <c r="AP56" i="19"/>
  <c r="AP60" i="19" s="1"/>
  <c r="M339" i="19"/>
  <c r="K51" i="19"/>
  <c r="BE6" i="19" s="1"/>
  <c r="F8" i="19" s="1"/>
  <c r="AL57" i="19"/>
  <c r="J69" i="19"/>
  <c r="AD59" i="19"/>
  <c r="J70" i="19"/>
  <c r="AX7" i="19" s="1"/>
  <c r="S87" i="19"/>
  <c r="AD24" i="19" s="1"/>
  <c r="H5" i="19" s="1"/>
  <c r="M110" i="19"/>
  <c r="M130" i="19"/>
  <c r="K153" i="19"/>
  <c r="J154" i="19"/>
  <c r="AX13" i="19" s="1"/>
  <c r="J177" i="19"/>
  <c r="BD14" i="19" s="1"/>
  <c r="L195" i="19"/>
  <c r="L196" i="19"/>
  <c r="AZ15" i="19" s="1"/>
  <c r="M214" i="19"/>
  <c r="K237" i="19"/>
  <c r="J238" i="19"/>
  <c r="AX17" i="19" s="1"/>
  <c r="P255" i="19"/>
  <c r="AL21" i="19" s="1"/>
  <c r="L300" i="19"/>
  <c r="K301" i="19"/>
  <c r="AY20" i="19" s="1"/>
  <c r="T318" i="19"/>
  <c r="AO25" i="19" s="1"/>
  <c r="S6" i="19" s="1"/>
  <c r="R339" i="19"/>
  <c r="AP23" i="19" s="1"/>
  <c r="T4" i="19" s="1"/>
  <c r="L364" i="19"/>
  <c r="AZ23" i="19" s="1"/>
  <c r="L175" i="19"/>
  <c r="AZ14" i="19" s="1"/>
  <c r="M87" i="19"/>
  <c r="L28" i="19"/>
  <c r="AZ5" i="19" s="1"/>
  <c r="AN57" i="19"/>
  <c r="AP59" i="19"/>
  <c r="J90" i="19"/>
  <c r="L111" i="19"/>
  <c r="J111" i="19"/>
  <c r="K132" i="19"/>
  <c r="J196" i="19"/>
  <c r="AX15" i="19" s="1"/>
  <c r="K216" i="19"/>
  <c r="R255" i="19"/>
  <c r="AL23" i="19" s="1"/>
  <c r="P4" i="19" s="1"/>
  <c r="L258" i="19"/>
  <c r="K261" i="19"/>
  <c r="BE18" i="19" s="1"/>
  <c r="P8" i="19" s="1"/>
  <c r="K342" i="19"/>
  <c r="T66" i="19"/>
  <c r="AC25" i="19" s="1"/>
  <c r="G6" i="19" s="1"/>
  <c r="J280" i="19"/>
  <c r="AX19" i="19" s="1"/>
  <c r="AC56" i="19"/>
  <c r="AC57" i="19"/>
  <c r="AA60" i="19"/>
  <c r="M46" i="19"/>
  <c r="AL56" i="19"/>
  <c r="AD57" i="19"/>
  <c r="L69" i="19"/>
  <c r="AF59" i="19"/>
  <c r="L70" i="19"/>
  <c r="AZ7" i="19" s="1"/>
  <c r="K93" i="19"/>
  <c r="BE8" i="19" s="1"/>
  <c r="H8" i="19" s="1"/>
  <c r="M129" i="19"/>
  <c r="L154" i="19"/>
  <c r="AZ13" i="19" s="1"/>
  <c r="R192" i="19"/>
  <c r="AI23" i="19" s="1"/>
  <c r="M4" i="19" s="1"/>
  <c r="M213" i="19"/>
  <c r="Q234" i="19"/>
  <c r="AK22" i="19" s="1"/>
  <c r="O3" i="19" s="1"/>
  <c r="L238" i="19"/>
  <c r="AZ17" i="19" s="1"/>
  <c r="S255" i="19"/>
  <c r="AL24" i="19" s="1"/>
  <c r="P5" i="19" s="1"/>
  <c r="K280" i="19"/>
  <c r="AY19" i="19" s="1"/>
  <c r="J303" i="19"/>
  <c r="BD20" i="19" s="1"/>
  <c r="J345" i="19"/>
  <c r="BD22" i="19" s="1"/>
  <c r="L363" i="19"/>
  <c r="K70" i="19"/>
  <c r="AY7" i="19" s="1"/>
  <c r="K154" i="19"/>
  <c r="AY13" i="19" s="1"/>
  <c r="L174" i="19"/>
  <c r="J363" i="19"/>
  <c r="M24" i="19"/>
  <c r="M25" i="19"/>
  <c r="S45" i="19"/>
  <c r="AB24" i="19" s="1"/>
  <c r="F5" i="19" s="1"/>
  <c r="AE57" i="19"/>
  <c r="AE60" i="19" s="1"/>
  <c r="AM57" i="19"/>
  <c r="AA59" i="19"/>
  <c r="Q87" i="19"/>
  <c r="AD22" i="19" s="1"/>
  <c r="H3" i="19" s="1"/>
  <c r="M88" i="19"/>
  <c r="J91" i="19"/>
  <c r="AX8" i="19" s="1"/>
  <c r="M108" i="19"/>
  <c r="K111" i="19"/>
  <c r="U129" i="19"/>
  <c r="AF26" i="19" s="1"/>
  <c r="M131" i="19"/>
  <c r="K135" i="19"/>
  <c r="BE12" i="19" s="1"/>
  <c r="J8" i="19" s="1"/>
  <c r="S150" i="19"/>
  <c r="AG24" i="19" s="1"/>
  <c r="K5" i="19" s="1"/>
  <c r="M172" i="19"/>
  <c r="J175" i="19"/>
  <c r="AX14" i="19" s="1"/>
  <c r="M192" i="19"/>
  <c r="K195" i="19"/>
  <c r="U213" i="19"/>
  <c r="AJ26" i="19" s="1"/>
  <c r="M215" i="19"/>
  <c r="K219" i="19"/>
  <c r="BE16" i="19" s="1"/>
  <c r="N8" i="19" s="1"/>
  <c r="S234" i="19"/>
  <c r="AK24" i="19" s="1"/>
  <c r="O5" i="19" s="1"/>
  <c r="M256" i="19"/>
  <c r="J259" i="19"/>
  <c r="AX18" i="19" s="1"/>
  <c r="M276" i="19"/>
  <c r="K279" i="19"/>
  <c r="U297" i="19"/>
  <c r="AN26" i="19" s="1"/>
  <c r="M299" i="19"/>
  <c r="K303" i="19"/>
  <c r="BE20" i="19" s="1"/>
  <c r="R8" i="19" s="1"/>
  <c r="S318" i="19"/>
  <c r="AO24" i="19" s="1"/>
  <c r="S5" i="19" s="1"/>
  <c r="Q339" i="19"/>
  <c r="AP22" i="19" s="1"/>
  <c r="T3" i="19" s="1"/>
  <c r="M340" i="19"/>
  <c r="J343" i="19"/>
  <c r="AX22" i="19" s="1"/>
  <c r="M360" i="19"/>
  <c r="K363" i="19"/>
  <c r="K238" i="19"/>
  <c r="AY17" i="19" s="1"/>
  <c r="J27" i="19"/>
  <c r="M66" i="19"/>
  <c r="AB59" i="19"/>
  <c r="M68" i="19"/>
  <c r="J72" i="19"/>
  <c r="BD7" i="19" s="1"/>
  <c r="K91" i="19"/>
  <c r="AY8" i="19" s="1"/>
  <c r="P108" i="19"/>
  <c r="AE21" i="19" s="1"/>
  <c r="J132" i="19"/>
  <c r="J156" i="19"/>
  <c r="BD13" i="19" s="1"/>
  <c r="R171" i="19"/>
  <c r="AH23" i="19" s="1"/>
  <c r="L4" i="19" s="1"/>
  <c r="K175" i="19"/>
  <c r="AY14" i="19" s="1"/>
  <c r="P192" i="19"/>
  <c r="AI21" i="19" s="1"/>
  <c r="J216" i="19"/>
  <c r="K259" i="19"/>
  <c r="AY18" i="19" s="1"/>
  <c r="P276" i="19"/>
  <c r="AM21" i="19" s="1"/>
  <c r="J300" i="19"/>
  <c r="K343" i="19"/>
  <c r="AY22" i="19" s="1"/>
  <c r="P360" i="19"/>
  <c r="AQ21" i="19" s="1"/>
  <c r="R45" i="19"/>
  <c r="AB23" i="19" s="1"/>
  <c r="F4" i="19" s="1"/>
  <c r="M26" i="19"/>
  <c r="K27" i="19"/>
  <c r="J28" i="19"/>
  <c r="AX5" i="19" s="1"/>
  <c r="U45" i="19"/>
  <c r="AB26" i="19" s="1"/>
  <c r="M47" i="19"/>
  <c r="AF58" i="19"/>
  <c r="AN58" i="19"/>
  <c r="AN61" i="19" s="1"/>
  <c r="AK59" i="19"/>
  <c r="M109" i="19"/>
  <c r="J112" i="19"/>
  <c r="AX9" i="19" s="1"/>
  <c r="U150" i="19"/>
  <c r="AG26" i="19" s="1"/>
  <c r="M152" i="19"/>
  <c r="M193" i="19"/>
  <c r="U234" i="19"/>
  <c r="AK26" i="19" s="1"/>
  <c r="M236" i="19"/>
  <c r="M277" i="19"/>
  <c r="U318" i="19"/>
  <c r="AO26" i="19" s="1"/>
  <c r="M320" i="19"/>
  <c r="M361" i="19"/>
  <c r="J364" i="19"/>
  <c r="AX23" i="19" s="1"/>
  <c r="J279" i="19"/>
  <c r="P24" i="19"/>
  <c r="AA21" i="19" s="1"/>
  <c r="K28" i="19"/>
  <c r="AY5" i="19" s="1"/>
  <c r="J48" i="19"/>
  <c r="T87" i="19"/>
  <c r="AD25" i="19" s="1"/>
  <c r="H6" i="19" s="1"/>
  <c r="J93" i="19"/>
  <c r="BD8" i="19" s="1"/>
  <c r="R108" i="19"/>
  <c r="AE23" i="19" s="1"/>
  <c r="I4" i="19" s="1"/>
  <c r="P129" i="19"/>
  <c r="AF21" i="19" s="1"/>
  <c r="J153" i="19"/>
  <c r="T171" i="19"/>
  <c r="AH25" i="19" s="1"/>
  <c r="L6" i="19" s="1"/>
  <c r="P213" i="19"/>
  <c r="AJ21" i="19" s="1"/>
  <c r="J237" i="19"/>
  <c r="T255" i="19"/>
  <c r="AL25" i="19" s="1"/>
  <c r="P6" i="19" s="1"/>
  <c r="R276" i="19"/>
  <c r="AM23" i="19" s="1"/>
  <c r="Q4" i="19" s="1"/>
  <c r="P297" i="19"/>
  <c r="AN21" i="19" s="1"/>
  <c r="J321" i="19"/>
  <c r="T339" i="19"/>
  <c r="AP25" i="19" s="1"/>
  <c r="T6" i="19" s="1"/>
  <c r="R360" i="19"/>
  <c r="AQ23" i="19" s="1"/>
  <c r="U4" i="19" s="1"/>
  <c r="K364" i="19"/>
  <c r="AY23" i="19" s="1"/>
  <c r="J195" i="19"/>
  <c r="AI57" i="19"/>
  <c r="AQ57" i="19"/>
  <c r="K69" i="19"/>
  <c r="L112" i="19"/>
  <c r="AZ9" i="19" s="1"/>
  <c r="BA9" i="19" s="1"/>
  <c r="I9" i="19" s="1"/>
  <c r="U171" i="19"/>
  <c r="AH26" i="19" s="1"/>
  <c r="U255" i="19"/>
  <c r="AL26" i="19" s="1"/>
  <c r="U339" i="19"/>
  <c r="AP26" i="19" s="1"/>
  <c r="L48" i="19"/>
  <c r="T108" i="19"/>
  <c r="AE25" i="19" s="1"/>
  <c r="I6" i="19" s="1"/>
  <c r="J114" i="19"/>
  <c r="BD9" i="19" s="1"/>
  <c r="R129" i="19"/>
  <c r="AF23" i="19" s="1"/>
  <c r="J4" i="19" s="1"/>
  <c r="P150" i="19"/>
  <c r="AG21" i="19" s="1"/>
  <c r="J174" i="19"/>
  <c r="T192" i="19"/>
  <c r="AI25" i="19" s="1"/>
  <c r="M6" i="19" s="1"/>
  <c r="R213" i="19"/>
  <c r="AJ23" i="19" s="1"/>
  <c r="N4" i="19" s="1"/>
  <c r="P234" i="19"/>
  <c r="AK21" i="19" s="1"/>
  <c r="T276" i="19"/>
  <c r="AM25" i="19" s="1"/>
  <c r="Q6" i="19" s="1"/>
  <c r="J282" i="19"/>
  <c r="BD19" i="19" s="1"/>
  <c r="R297" i="19"/>
  <c r="AN23" i="19" s="1"/>
  <c r="R4" i="19" s="1"/>
  <c r="P318" i="19"/>
  <c r="AO21" i="19" s="1"/>
  <c r="T360" i="19"/>
  <c r="AQ25" i="19" s="1"/>
  <c r="U6" i="19" s="1"/>
  <c r="Q45" i="19"/>
  <c r="AB22" i="19" s="1"/>
  <c r="F3" i="19" s="1"/>
  <c r="AJ58" i="19"/>
  <c r="AG59" i="19"/>
  <c r="AO59" i="19"/>
  <c r="AO60" i="19" l="1"/>
  <c r="F19" i="20"/>
  <c r="M19" i="20"/>
  <c r="AL61" i="19"/>
  <c r="T19" i="20"/>
  <c r="S19" i="20"/>
  <c r="O19" i="20"/>
  <c r="R19" i="20"/>
  <c r="N19" i="20"/>
  <c r="J19" i="20"/>
  <c r="I19" i="20"/>
  <c r="L19" i="20"/>
  <c r="H19" i="20"/>
  <c r="K19" i="20"/>
  <c r="U19" i="20"/>
  <c r="Q19" i="20"/>
  <c r="P19" i="20"/>
  <c r="AD60" i="19"/>
  <c r="AQ60" i="19"/>
  <c r="BA12" i="19"/>
  <c r="J9" i="19" s="1"/>
  <c r="N17" i="19"/>
  <c r="E19" i="20"/>
  <c r="N15" i="19"/>
  <c r="AM60" i="19"/>
  <c r="S20" i="20"/>
  <c r="O20" i="20"/>
  <c r="Q20" i="20"/>
  <c r="I20" i="20"/>
  <c r="AI60" i="19"/>
  <c r="P20" i="20"/>
  <c r="H20" i="20"/>
  <c r="J20" i="20"/>
  <c r="G20" i="20"/>
  <c r="N20" i="20"/>
  <c r="R20" i="20"/>
  <c r="T21" i="20"/>
  <c r="H21" i="20"/>
  <c r="F20" i="20"/>
  <c r="E20" i="20"/>
  <c r="F21" i="20"/>
  <c r="M20" i="20"/>
  <c r="L20" i="20"/>
  <c r="U20" i="20"/>
  <c r="T20" i="20"/>
  <c r="O21" i="20"/>
  <c r="S21" i="20"/>
  <c r="K20" i="20"/>
  <c r="AB61" i="19"/>
  <c r="BA15" i="19"/>
  <c r="M9" i="19" s="1"/>
  <c r="BA21" i="19"/>
  <c r="S9" i="19" s="1"/>
  <c r="AO61" i="19"/>
  <c r="AQ61" i="19"/>
  <c r="BA14" i="19"/>
  <c r="L9" i="19" s="1"/>
  <c r="BA22" i="19"/>
  <c r="T9" i="19" s="1"/>
  <c r="BA23" i="19"/>
  <c r="U9" i="19" s="1"/>
  <c r="BA8" i="19"/>
  <c r="H9" i="19" s="1"/>
  <c r="E8" i="19"/>
  <c r="BA13" i="19"/>
  <c r="K9" i="19" s="1"/>
  <c r="BA18" i="19"/>
  <c r="P9" i="19" s="1"/>
  <c r="BA16" i="19"/>
  <c r="N9" i="19" s="1"/>
  <c r="BA7" i="19"/>
  <c r="G9" i="19" s="1"/>
  <c r="BA6" i="19"/>
  <c r="F9" i="19" s="1"/>
  <c r="BA20" i="19"/>
  <c r="R9" i="19" s="1"/>
  <c r="BA19" i="19"/>
  <c r="Q9" i="19" s="1"/>
  <c r="BA17" i="19"/>
  <c r="O9" i="19" s="1"/>
  <c r="BA5" i="19"/>
  <c r="E9" i="19" s="1"/>
  <c r="AK61" i="19"/>
  <c r="AG61" i="19"/>
  <c r="AA61" i="19"/>
  <c r="AN60" i="19"/>
  <c r="K2" i="19"/>
  <c r="I2" i="19"/>
  <c r="R2" i="19"/>
  <c r="N2" i="19"/>
  <c r="U2" i="19"/>
  <c r="AP61" i="19"/>
  <c r="P2" i="19"/>
  <c r="S2" i="19"/>
  <c r="G4" i="19"/>
  <c r="E2" i="19"/>
  <c r="O2" i="19"/>
  <c r="J2" i="19"/>
  <c r="Q2" i="19"/>
  <c r="M2" i="19"/>
  <c r="AL60" i="19"/>
  <c r="AJ61" i="19"/>
  <c r="AC60" i="19"/>
  <c r="AF61" i="19"/>
  <c r="AD61" i="19"/>
  <c r="G19" i="20" l="1"/>
  <c r="G24" i="20" s="1"/>
  <c r="M24" i="20"/>
  <c r="R24" i="20"/>
  <c r="P24" i="20"/>
  <c r="E24" i="20"/>
  <c r="N24" i="20"/>
  <c r="J24" i="20"/>
  <c r="S24" i="20"/>
  <c r="H24" i="20"/>
  <c r="O22" i="20"/>
  <c r="Q22" i="20"/>
  <c r="Q24" i="20"/>
  <c r="K22" i="20"/>
  <c r="F22" i="20"/>
  <c r="I24" i="20"/>
  <c r="H22" i="20"/>
  <c r="K24" i="20"/>
  <c r="E22" i="20"/>
  <c r="M22" i="20"/>
  <c r="R22" i="20"/>
  <c r="L22" i="20"/>
  <c r="N22" i="20"/>
  <c r="U22" i="20"/>
  <c r="T22" i="20"/>
  <c r="F24" i="20"/>
  <c r="G22" i="20"/>
  <c r="J22" i="20"/>
  <c r="S22" i="20"/>
  <c r="I22" i="20"/>
  <c r="L24" i="20"/>
  <c r="P22" i="20"/>
  <c r="O24" i="20"/>
  <c r="R45" i="18"/>
  <c r="Q45" i="18"/>
  <c r="P45" i="18"/>
  <c r="N45" i="18"/>
  <c r="M45" i="18"/>
  <c r="L45" i="18"/>
  <c r="K45" i="18"/>
  <c r="J45" i="18"/>
  <c r="I45" i="18"/>
  <c r="H45" i="18"/>
  <c r="G45" i="18"/>
  <c r="F45" i="18"/>
  <c r="R43" i="18"/>
  <c r="Q43" i="18"/>
  <c r="P43" i="18"/>
  <c r="O43" i="18"/>
  <c r="M43" i="18"/>
  <c r="K43" i="18"/>
  <c r="I43" i="18"/>
  <c r="G43" i="18"/>
  <c r="E43" i="18"/>
  <c r="C43" i="18"/>
  <c r="R39" i="18"/>
  <c r="R47" i="18" s="1"/>
  <c r="Q39" i="18"/>
  <c r="Q47" i="18" s="1"/>
  <c r="N39" i="18"/>
  <c r="M47" i="18" s="1"/>
  <c r="L39" i="18"/>
  <c r="L47" i="18" s="1"/>
  <c r="J39" i="18"/>
  <c r="J47" i="18" s="1"/>
  <c r="H39" i="18"/>
  <c r="H47" i="18" s="1"/>
  <c r="F39" i="18"/>
  <c r="F47" i="18" s="1"/>
  <c r="D39" i="18"/>
  <c r="R38" i="18"/>
  <c r="R46" i="18" s="1"/>
  <c r="Q38" i="18"/>
  <c r="Q46" i="18" s="1"/>
  <c r="M46" i="18"/>
  <c r="L38" i="18"/>
  <c r="L46" i="18" s="1"/>
  <c r="J38" i="18"/>
  <c r="I46" i="18" s="1"/>
  <c r="H38" i="18"/>
  <c r="H46" i="18" s="1"/>
  <c r="F38" i="18"/>
  <c r="E46" i="18" s="1"/>
  <c r="D38" i="18"/>
  <c r="D46" i="18" l="1"/>
  <c r="F7" i="18" s="1"/>
  <c r="C46" i="18"/>
  <c r="D47" i="18"/>
  <c r="C47" i="18"/>
  <c r="Z22" i="20"/>
  <c r="W33" i="20" s="1"/>
  <c r="O6" i="18"/>
  <c r="O8" i="18"/>
  <c r="H6" i="18"/>
  <c r="P6" i="18"/>
  <c r="F6" i="18"/>
  <c r="O7" i="18"/>
  <c r="G6" i="18"/>
  <c r="S7" i="18"/>
  <c r="T7" i="18"/>
  <c r="S8" i="18"/>
  <c r="I6" i="18"/>
  <c r="R6" i="18"/>
  <c r="N7" i="18"/>
  <c r="N8" i="18"/>
  <c r="U8" i="18"/>
  <c r="K6" i="18"/>
  <c r="T6" i="18"/>
  <c r="L8" i="18"/>
  <c r="T8" i="18"/>
  <c r="J6" i="18"/>
  <c r="S6" i="18"/>
  <c r="F8" i="18"/>
  <c r="H8" i="18"/>
  <c r="L6" i="18"/>
  <c r="U6" i="18"/>
  <c r="N6" i="18"/>
  <c r="U7" i="18"/>
  <c r="G7" i="18"/>
  <c r="J7" i="18"/>
  <c r="K7" i="18"/>
  <c r="J8" i="18"/>
  <c r="M6" i="18"/>
  <c r="N47" i="18"/>
  <c r="P47" i="18"/>
  <c r="L48" i="18"/>
  <c r="F46" i="18"/>
  <c r="N46" i="18"/>
  <c r="P46" i="18"/>
  <c r="E47" i="18"/>
  <c r="M48" i="18"/>
  <c r="H48" i="18"/>
  <c r="G47" i="18"/>
  <c r="R48" i="18"/>
  <c r="Q48" i="18"/>
  <c r="S48" i="18"/>
  <c r="G46" i="18"/>
  <c r="J46" i="18"/>
  <c r="I47" i="18"/>
  <c r="K46" i="18"/>
  <c r="K47" i="18"/>
  <c r="D48" i="18" l="1"/>
  <c r="W29" i="20"/>
  <c r="W7" i="20" s="1"/>
  <c r="W34" i="20"/>
  <c r="W3" i="20" s="1"/>
  <c r="W30" i="20"/>
  <c r="W8" i="20" s="1"/>
  <c r="W35" i="20"/>
  <c r="W4" i="20" s="1"/>
  <c r="W27" i="20"/>
  <c r="W5" i="20" s="1"/>
  <c r="W28" i="20"/>
  <c r="W6" i="20" s="1"/>
  <c r="W2" i="20"/>
  <c r="B27" i="20"/>
  <c r="B5" i="20" s="1"/>
  <c r="C6" i="18"/>
  <c r="C27" i="20" s="1"/>
  <c r="C5" i="20" s="1"/>
  <c r="D6" i="18"/>
  <c r="D27" i="20" s="1"/>
  <c r="D5" i="20" s="1"/>
  <c r="S33" i="20"/>
  <c r="S2" i="20" s="1"/>
  <c r="D30" i="20"/>
  <c r="D8" i="20" s="1"/>
  <c r="B30" i="20"/>
  <c r="B8" i="20" s="1"/>
  <c r="B35" i="20"/>
  <c r="B4" i="20" s="1"/>
  <c r="C30" i="20"/>
  <c r="C8" i="20" s="1"/>
  <c r="D35" i="20"/>
  <c r="D4" i="20" s="1"/>
  <c r="C34" i="20"/>
  <c r="C3" i="20" s="1"/>
  <c r="D34" i="20"/>
  <c r="D3" i="20" s="1"/>
  <c r="C35" i="20"/>
  <c r="C4" i="20" s="1"/>
  <c r="B34" i="20"/>
  <c r="B3" i="20" s="1"/>
  <c r="D33" i="20"/>
  <c r="D2" i="20" s="1"/>
  <c r="C33" i="20"/>
  <c r="C2" i="20" s="1"/>
  <c r="B33" i="20"/>
  <c r="B2" i="20" s="1"/>
  <c r="E34" i="20"/>
  <c r="E3" i="20" s="1"/>
  <c r="Q33" i="20"/>
  <c r="Q2" i="20" s="1"/>
  <c r="L34" i="20"/>
  <c r="L3" i="20" s="1"/>
  <c r="O34" i="20"/>
  <c r="O3" i="20" s="1"/>
  <c r="S35" i="20"/>
  <c r="S4" i="20" s="1"/>
  <c r="J33" i="20"/>
  <c r="J2" i="20" s="1"/>
  <c r="V34" i="20"/>
  <c r="V3" i="20" s="1"/>
  <c r="I35" i="20"/>
  <c r="I4" i="20" s="1"/>
  <c r="U33" i="20"/>
  <c r="U2" i="20" s="1"/>
  <c r="P34" i="20"/>
  <c r="P3" i="20" s="1"/>
  <c r="L35" i="20"/>
  <c r="L4" i="20" s="1"/>
  <c r="Q34" i="20"/>
  <c r="Q3" i="20" s="1"/>
  <c r="T35" i="20"/>
  <c r="T4" i="20" s="1"/>
  <c r="F35" i="20"/>
  <c r="F4" i="20" s="1"/>
  <c r="R33" i="20"/>
  <c r="R2" i="20" s="1"/>
  <c r="N33" i="20"/>
  <c r="N2" i="20" s="1"/>
  <c r="V35" i="20"/>
  <c r="V4" i="20" s="1"/>
  <c r="H34" i="20"/>
  <c r="H3" i="20" s="1"/>
  <c r="I34" i="20"/>
  <c r="I3" i="20" s="1"/>
  <c r="T33" i="20"/>
  <c r="T2" i="20" s="1"/>
  <c r="Q35" i="20"/>
  <c r="Q4" i="20" s="1"/>
  <c r="P35" i="20"/>
  <c r="P4" i="20" s="1"/>
  <c r="M34" i="20"/>
  <c r="M3" i="20" s="1"/>
  <c r="K34" i="20"/>
  <c r="K3" i="20" s="1"/>
  <c r="T34" i="20"/>
  <c r="T3" i="20" s="1"/>
  <c r="J34" i="20"/>
  <c r="J3" i="20" s="1"/>
  <c r="R35" i="20"/>
  <c r="R4" i="20" s="1"/>
  <c r="I33" i="20"/>
  <c r="I2" i="20" s="1"/>
  <c r="J35" i="20"/>
  <c r="J4" i="20" s="1"/>
  <c r="P33" i="20"/>
  <c r="P2" i="20" s="1"/>
  <c r="K35" i="20"/>
  <c r="K4" i="20" s="1"/>
  <c r="V33" i="20"/>
  <c r="V2" i="20" s="1"/>
  <c r="S34" i="20"/>
  <c r="S3" i="20" s="1"/>
  <c r="F34" i="20"/>
  <c r="F3" i="20" s="1"/>
  <c r="N34" i="20"/>
  <c r="N3" i="20" s="1"/>
  <c r="H33" i="20"/>
  <c r="H2" i="20" s="1"/>
  <c r="E33" i="20"/>
  <c r="E2" i="20" s="1"/>
  <c r="F33" i="20"/>
  <c r="F2" i="20" s="1"/>
  <c r="N35" i="20"/>
  <c r="N4" i="20" s="1"/>
  <c r="U35" i="20"/>
  <c r="U4" i="20" s="1"/>
  <c r="M33" i="20"/>
  <c r="M2" i="20" s="1"/>
  <c r="O35" i="20"/>
  <c r="O4" i="20" s="1"/>
  <c r="G34" i="20"/>
  <c r="G3" i="20" s="1"/>
  <c r="G33" i="20"/>
  <c r="G2" i="20" s="1"/>
  <c r="K33" i="20"/>
  <c r="K2" i="20" s="1"/>
  <c r="O33" i="20"/>
  <c r="O2" i="20" s="1"/>
  <c r="M35" i="20"/>
  <c r="M4" i="20" s="1"/>
  <c r="U34" i="20"/>
  <c r="U3" i="20" s="1"/>
  <c r="H35" i="20"/>
  <c r="H4" i="20" s="1"/>
  <c r="R34" i="20"/>
  <c r="R3" i="20" s="1"/>
  <c r="E35" i="20"/>
  <c r="E4" i="20" s="1"/>
  <c r="G35" i="20"/>
  <c r="G4" i="20" s="1"/>
  <c r="L33" i="20"/>
  <c r="L2" i="20" s="1"/>
  <c r="F30" i="20"/>
  <c r="F8" i="20" s="1"/>
  <c r="T28" i="20"/>
  <c r="T6" i="20" s="1"/>
  <c r="U28" i="20"/>
  <c r="U6" i="20" s="1"/>
  <c r="G30" i="20"/>
  <c r="G8" i="20" s="1"/>
  <c r="O30" i="20"/>
  <c r="O8" i="20" s="1"/>
  <c r="E30" i="20"/>
  <c r="E8" i="20" s="1"/>
  <c r="H30" i="20"/>
  <c r="H8" i="20" s="1"/>
  <c r="P30" i="20"/>
  <c r="P8" i="20" s="1"/>
  <c r="H29" i="20"/>
  <c r="H7" i="20" s="1"/>
  <c r="F28" i="20"/>
  <c r="F6" i="20" s="1"/>
  <c r="N28" i="20"/>
  <c r="N6" i="20" s="1"/>
  <c r="V28" i="20"/>
  <c r="V6" i="20" s="1"/>
  <c r="L27" i="20"/>
  <c r="L5" i="20" s="1"/>
  <c r="T27" i="20"/>
  <c r="T5" i="20" s="1"/>
  <c r="R30" i="20"/>
  <c r="R8" i="20" s="1"/>
  <c r="J29" i="20"/>
  <c r="J7" i="20" s="1"/>
  <c r="F27" i="20"/>
  <c r="F5" i="20" s="1"/>
  <c r="V27" i="20"/>
  <c r="V5" i="20" s="1"/>
  <c r="P27" i="20"/>
  <c r="P5" i="20" s="1"/>
  <c r="M30" i="20"/>
  <c r="M8" i="20" s="1"/>
  <c r="S28" i="20"/>
  <c r="S6" i="20" s="1"/>
  <c r="N30" i="20"/>
  <c r="N8" i="20" s="1"/>
  <c r="F29" i="20"/>
  <c r="F7" i="20" s="1"/>
  <c r="R27" i="20"/>
  <c r="R5" i="20" s="1"/>
  <c r="I30" i="20"/>
  <c r="I8" i="20" s="1"/>
  <c r="Q30" i="20"/>
  <c r="Q8" i="20" s="1"/>
  <c r="G28" i="20"/>
  <c r="G6" i="20" s="1"/>
  <c r="O28" i="20"/>
  <c r="O6" i="20" s="1"/>
  <c r="M27" i="20"/>
  <c r="M5" i="20" s="1"/>
  <c r="U27" i="20"/>
  <c r="U5" i="20" s="1"/>
  <c r="J30" i="20"/>
  <c r="J8" i="20" s="1"/>
  <c r="N27" i="20"/>
  <c r="N5" i="20" s="1"/>
  <c r="H27" i="20"/>
  <c r="H5" i="20" s="1"/>
  <c r="U30" i="20"/>
  <c r="U8" i="20" s="1"/>
  <c r="U29" i="20"/>
  <c r="U7" i="20" s="1"/>
  <c r="V29" i="20"/>
  <c r="V7" i="20" s="1"/>
  <c r="O29" i="20"/>
  <c r="O7" i="20" s="1"/>
  <c r="S27" i="20"/>
  <c r="S5" i="20" s="1"/>
  <c r="I27" i="20"/>
  <c r="I5" i="20" s="1"/>
  <c r="K30" i="20"/>
  <c r="K8" i="20" s="1"/>
  <c r="S30" i="20"/>
  <c r="S8" i="20" s="1"/>
  <c r="S29" i="20"/>
  <c r="S7" i="20" s="1"/>
  <c r="G27" i="20"/>
  <c r="G5" i="20" s="1"/>
  <c r="O27" i="20"/>
  <c r="O5" i="20" s="1"/>
  <c r="E27" i="20"/>
  <c r="E5" i="20" s="1"/>
  <c r="L30" i="20"/>
  <c r="L8" i="20" s="1"/>
  <c r="T30" i="20"/>
  <c r="T8" i="20" s="1"/>
  <c r="L29" i="20"/>
  <c r="L7" i="20" s="1"/>
  <c r="T29" i="20"/>
  <c r="T7" i="20" s="1"/>
  <c r="J28" i="20"/>
  <c r="J6" i="20" s="1"/>
  <c r="K28" i="20"/>
  <c r="K6" i="20" s="1"/>
  <c r="V30" i="20"/>
  <c r="V8" i="20" s="1"/>
  <c r="N29" i="20"/>
  <c r="N7" i="20" s="1"/>
  <c r="J27" i="20"/>
  <c r="J5" i="20" s="1"/>
  <c r="K27" i="20"/>
  <c r="K5" i="20" s="1"/>
  <c r="I8" i="18"/>
  <c r="I29" i="20" s="1"/>
  <c r="I7" i="20" s="1"/>
  <c r="I48" i="18"/>
  <c r="K8" i="18"/>
  <c r="K29" i="20" s="1"/>
  <c r="K7" i="20" s="1"/>
  <c r="P8" i="18"/>
  <c r="P29" i="20" s="1"/>
  <c r="P7" i="20" s="1"/>
  <c r="J48" i="18"/>
  <c r="L7" i="18"/>
  <c r="L28" i="20" s="1"/>
  <c r="L6" i="20" s="1"/>
  <c r="R7" i="18"/>
  <c r="R28" i="20" s="1"/>
  <c r="R6" i="20" s="1"/>
  <c r="M7" i="18"/>
  <c r="M28" i="20" s="1"/>
  <c r="M6" i="20" s="1"/>
  <c r="E7" i="18"/>
  <c r="R8" i="18"/>
  <c r="R29" i="20" s="1"/>
  <c r="R7" i="20" s="1"/>
  <c r="E48" i="18"/>
  <c r="G8" i="18"/>
  <c r="G29" i="20" s="1"/>
  <c r="G7" i="20" s="1"/>
  <c r="I7" i="18"/>
  <c r="I28" i="20" s="1"/>
  <c r="I6" i="20" s="1"/>
  <c r="P7" i="18"/>
  <c r="P28" i="20" s="1"/>
  <c r="P6" i="20" s="1"/>
  <c r="M8" i="18"/>
  <c r="M29" i="20" s="1"/>
  <c r="M7" i="20" s="1"/>
  <c r="F48" i="18"/>
  <c r="H7" i="18"/>
  <c r="H28" i="20" s="1"/>
  <c r="H6" i="20" s="1"/>
  <c r="E8" i="18"/>
  <c r="E29" i="20" s="1"/>
  <c r="E7" i="20" s="1"/>
  <c r="G48" i="18"/>
  <c r="P48" i="18"/>
  <c r="N48" i="18"/>
  <c r="C48" i="18"/>
  <c r="K48" i="18"/>
  <c r="H11" i="33" l="1"/>
  <c r="H12" i="33" s="1"/>
  <c r="P11" i="33"/>
  <c r="P12" i="33" s="1"/>
  <c r="J10" i="33"/>
  <c r="Q10" i="33"/>
  <c r="D10" i="33"/>
  <c r="C11" i="33"/>
  <c r="C12" i="33" s="1"/>
  <c r="F10" i="33"/>
  <c r="P10" i="33"/>
  <c r="P13" i="33" s="1"/>
  <c r="J11" i="33"/>
  <c r="J12" i="33" s="1"/>
  <c r="L10" i="33"/>
  <c r="K10" i="33"/>
  <c r="M10" i="33"/>
  <c r="E10" i="33"/>
  <c r="S11" i="33"/>
  <c r="S12" i="33" s="1"/>
  <c r="T11" i="33"/>
  <c r="T12" i="33" s="1"/>
  <c r="U10" i="33"/>
  <c r="U13" i="33" s="1"/>
  <c r="E11" i="33"/>
  <c r="E12" i="33" s="1"/>
  <c r="B11" i="33"/>
  <c r="B12" i="33" s="1"/>
  <c r="R11" i="33"/>
  <c r="R12" i="33" s="1"/>
  <c r="O10" i="33"/>
  <c r="F11" i="33"/>
  <c r="F12" i="33" s="1"/>
  <c r="U11" i="33"/>
  <c r="U12" i="33" s="1"/>
  <c r="G10" i="33"/>
  <c r="H10" i="33"/>
  <c r="V10" i="33"/>
  <c r="I10" i="33"/>
  <c r="K11" i="33"/>
  <c r="K12" i="33" s="1"/>
  <c r="T10" i="33"/>
  <c r="T13" i="33" s="1"/>
  <c r="N10" i="33"/>
  <c r="Q11" i="33"/>
  <c r="Q12" i="33" s="1"/>
  <c r="O11" i="33"/>
  <c r="O12" i="33" s="1"/>
  <c r="B10" i="33"/>
  <c r="B13" i="33" s="1"/>
  <c r="S10" i="33"/>
  <c r="G11" i="33"/>
  <c r="G12" i="33" s="1"/>
  <c r="N11" i="33"/>
  <c r="N12" i="33" s="1"/>
  <c r="M11" i="33"/>
  <c r="M12" i="33" s="1"/>
  <c r="I11" i="33"/>
  <c r="I12" i="33" s="1"/>
  <c r="R10" i="33"/>
  <c r="V11" i="33"/>
  <c r="V12" i="33" s="1"/>
  <c r="L11" i="33"/>
  <c r="L12" i="33" s="1"/>
  <c r="C10" i="33"/>
  <c r="D11" i="33"/>
  <c r="D12" i="33" s="1"/>
  <c r="W10" i="33"/>
  <c r="W9" i="20"/>
  <c r="W11" i="33"/>
  <c r="W12" i="33" s="1"/>
  <c r="F9" i="20"/>
  <c r="F10" i="20"/>
  <c r="B9" i="20"/>
  <c r="B10" i="20"/>
  <c r="R9" i="20"/>
  <c r="R10" i="20"/>
  <c r="J9" i="20"/>
  <c r="J10" i="20"/>
  <c r="C9" i="20"/>
  <c r="C10" i="20"/>
  <c r="E9" i="20"/>
  <c r="E10" i="20"/>
  <c r="U9" i="20"/>
  <c r="U10" i="20"/>
  <c r="K9" i="20"/>
  <c r="K10" i="20"/>
  <c r="Q9" i="20"/>
  <c r="Q10" i="20"/>
  <c r="O9" i="20"/>
  <c r="O10" i="20"/>
  <c r="H9" i="20"/>
  <c r="H10" i="20"/>
  <c r="P9" i="20"/>
  <c r="P10" i="20"/>
  <c r="S9" i="20"/>
  <c r="S10" i="20"/>
  <c r="T9" i="20"/>
  <c r="T10" i="20"/>
  <c r="G9" i="20"/>
  <c r="G10" i="20"/>
  <c r="N9" i="20"/>
  <c r="N10" i="20"/>
  <c r="M9" i="20"/>
  <c r="M10" i="20"/>
  <c r="I9" i="20"/>
  <c r="I10" i="20"/>
  <c r="V9" i="20"/>
  <c r="V10" i="20"/>
  <c r="L9" i="20"/>
  <c r="L10" i="20"/>
  <c r="D9" i="20"/>
  <c r="D10" i="20"/>
  <c r="E28" i="20"/>
  <c r="E6" i="20" s="1"/>
  <c r="D7" i="18"/>
  <c r="D28" i="20" s="1"/>
  <c r="D6" i="20" s="1"/>
  <c r="B7" i="18"/>
  <c r="B28" i="20" s="1"/>
  <c r="B6" i="20" s="1"/>
  <c r="C7" i="18"/>
  <c r="C28" i="20" s="1"/>
  <c r="C6" i="20" s="1"/>
  <c r="O45" i="18"/>
  <c r="O46" i="18"/>
  <c r="O47" i="18"/>
  <c r="H13" i="33" l="1"/>
  <c r="O13" i="33"/>
  <c r="J13" i="33"/>
  <c r="C13" i="33"/>
  <c r="S13" i="33"/>
  <c r="K13" i="33"/>
  <c r="R13" i="33"/>
  <c r="N13" i="33"/>
  <c r="I13" i="33"/>
  <c r="E13" i="33"/>
  <c r="Q13" i="33"/>
  <c r="L13" i="33"/>
  <c r="F13" i="33"/>
  <c r="D13" i="33"/>
  <c r="V13" i="33"/>
  <c r="G13" i="33"/>
  <c r="M13" i="33"/>
  <c r="W13" i="33"/>
  <c r="B8" i="18"/>
  <c r="B29" i="20" s="1"/>
  <c r="B7" i="20" s="1"/>
  <c r="C8" i="18"/>
  <c r="C29" i="20" s="1"/>
  <c r="C7" i="20" s="1"/>
  <c r="D8" i="18"/>
  <c r="D29" i="20" s="1"/>
  <c r="D7" i="20" s="1"/>
  <c r="Q8" i="18"/>
  <c r="Q29" i="20" s="1"/>
  <c r="Q7" i="20" s="1"/>
  <c r="Q7" i="18"/>
  <c r="Q28" i="20" s="1"/>
  <c r="Q6" i="20" s="1"/>
  <c r="Q6" i="18"/>
  <c r="Q27" i="20" s="1"/>
  <c r="Q5" i="20" s="1"/>
  <c r="O48" i="18"/>
  <c r="U14" i="3" l="1"/>
  <c r="T14" i="3"/>
  <c r="S14" i="3"/>
  <c r="R14" i="3"/>
  <c r="R15" i="3"/>
  <c r="S15" i="3"/>
  <c r="T15" i="3"/>
  <c r="U15" i="3"/>
  <c r="R16" i="3"/>
  <c r="S16" i="3"/>
  <c r="T16" i="3"/>
  <c r="U16" i="3"/>
  <c r="R17" i="3"/>
  <c r="S17" i="3"/>
  <c r="T17" i="3"/>
  <c r="U17" i="3"/>
  <c r="R18" i="3"/>
  <c r="S18" i="3"/>
  <c r="T18" i="3"/>
  <c r="U18" i="3"/>
  <c r="R19" i="3"/>
  <c r="S19" i="3"/>
  <c r="T19" i="3"/>
  <c r="U19" i="3"/>
  <c r="R20" i="3"/>
  <c r="S20" i="3"/>
  <c r="T20" i="3"/>
  <c r="U20" i="3"/>
  <c r="R21" i="3"/>
  <c r="S21" i="3"/>
  <c r="T21" i="3"/>
  <c r="U21" i="3"/>
  <c r="R22" i="3"/>
  <c r="S22" i="3"/>
  <c r="T22" i="3"/>
  <c r="U22" i="3"/>
  <c r="R23" i="3"/>
  <c r="S23" i="3"/>
  <c r="T23" i="3"/>
  <c r="U23" i="3"/>
  <c r="R24" i="3"/>
  <c r="S24" i="3"/>
  <c r="T24" i="3"/>
  <c r="U24" i="3"/>
  <c r="R25" i="3"/>
  <c r="S25" i="3"/>
  <c r="T25" i="3"/>
  <c r="U25" i="3"/>
  <c r="R26" i="3"/>
  <c r="S26" i="3"/>
  <c r="T26" i="3"/>
  <c r="U26" i="3"/>
  <c r="R27" i="3"/>
  <c r="S27" i="3"/>
  <c r="T27" i="3"/>
  <c r="U27" i="3"/>
  <c r="R28" i="3"/>
  <c r="S28" i="3"/>
  <c r="T28" i="3"/>
  <c r="U28" i="3"/>
  <c r="R29" i="3"/>
  <c r="S29" i="3"/>
  <c r="T29" i="3"/>
  <c r="U29" i="3"/>
  <c r="R30" i="3"/>
  <c r="S30" i="3"/>
  <c r="T30" i="3"/>
  <c r="U30" i="3"/>
  <c r="W14" i="3" l="1"/>
  <c r="V20" i="3"/>
  <c r="Z20" i="3" s="1"/>
  <c r="AD20" i="3" s="1"/>
  <c r="Q30" i="3"/>
  <c r="Q29" i="3"/>
  <c r="Q28" i="3"/>
  <c r="Q27" i="3"/>
  <c r="Q26" i="3"/>
  <c r="Q25" i="3"/>
  <c r="Q24" i="3"/>
  <c r="Q23" i="3"/>
  <c r="Q22" i="3"/>
  <c r="Q21" i="3"/>
  <c r="Q20" i="3"/>
  <c r="Q19" i="3"/>
  <c r="Q18" i="3"/>
  <c r="Q17" i="3"/>
  <c r="Q16" i="3"/>
  <c r="Q15" i="3"/>
  <c r="Q14" i="3"/>
  <c r="X14" i="3"/>
  <c r="Y27" i="3"/>
  <c r="AC27" i="3" s="1"/>
  <c r="AG27" i="3" s="1"/>
  <c r="R55" i="3" s="1"/>
  <c r="R5" i="3" s="1"/>
  <c r="Y19" i="3"/>
  <c r="V14" i="3"/>
  <c r="Z14" i="3" s="1"/>
  <c r="AD14" i="3" s="1"/>
  <c r="E53" i="3" s="1"/>
  <c r="E3" i="3" s="1"/>
  <c r="AA14" i="3"/>
  <c r="AE14" i="3" s="1"/>
  <c r="Y14" i="3"/>
  <c r="Y30" i="3"/>
  <c r="AC30" i="3" s="1"/>
  <c r="AG30" i="3" s="1"/>
  <c r="U55" i="3" s="1"/>
  <c r="U5" i="3" s="1"/>
  <c r="Y28" i="3"/>
  <c r="AC28" i="3" s="1"/>
  <c r="AG28" i="3" s="1"/>
  <c r="S55" i="3" s="1"/>
  <c r="S5" i="3" s="1"/>
  <c r="Y26" i="3"/>
  <c r="AC26" i="3" s="1"/>
  <c r="AG26" i="3" s="1"/>
  <c r="Q55" i="3" s="1"/>
  <c r="Q5" i="3" s="1"/>
  <c r="Y24" i="3"/>
  <c r="AC24" i="3" s="1"/>
  <c r="AG24" i="3" s="1"/>
  <c r="O55" i="3" s="1"/>
  <c r="O5" i="3" s="1"/>
  <c r="Y22" i="3"/>
  <c r="AC22" i="3" s="1"/>
  <c r="AG22" i="3" s="1"/>
  <c r="M55" i="3" s="1"/>
  <c r="M5" i="3" s="1"/>
  <c r="Y20" i="3"/>
  <c r="AC20" i="3" s="1"/>
  <c r="AG20" i="3" s="1"/>
  <c r="K55" i="3" s="1"/>
  <c r="K5" i="3" s="1"/>
  <c r="Y18" i="3"/>
  <c r="Y16" i="3"/>
  <c r="Y25" i="3"/>
  <c r="AC25" i="3" s="1"/>
  <c r="AG25" i="3" s="1"/>
  <c r="P55" i="3" s="1"/>
  <c r="P5" i="3" s="1"/>
  <c r="Y17" i="3"/>
  <c r="Y23" i="3"/>
  <c r="AC23" i="3" s="1"/>
  <c r="AG23" i="3" s="1"/>
  <c r="N55" i="3" s="1"/>
  <c r="N5" i="3" s="1"/>
  <c r="Y15" i="3"/>
  <c r="Y29" i="3"/>
  <c r="AC29" i="3" s="1"/>
  <c r="AG29" i="3" s="1"/>
  <c r="T55" i="3" s="1"/>
  <c r="T5" i="3" s="1"/>
  <c r="Y21" i="3"/>
  <c r="AC21" i="3" s="1"/>
  <c r="AG21" i="3" s="1"/>
  <c r="L55" i="3" s="1"/>
  <c r="L5" i="3" s="1"/>
  <c r="X29" i="3"/>
  <c r="AB29" i="3" s="1"/>
  <c r="AF29" i="3" s="1"/>
  <c r="T54" i="3" s="1"/>
  <c r="T4" i="3" s="1"/>
  <c r="X27" i="3"/>
  <c r="AB27" i="3" s="1"/>
  <c r="AF27" i="3" s="1"/>
  <c r="R54" i="3" s="1"/>
  <c r="R4" i="3" s="1"/>
  <c r="X25" i="3"/>
  <c r="AB25" i="3" s="1"/>
  <c r="AF25" i="3" s="1"/>
  <c r="P54" i="3" s="1"/>
  <c r="P4" i="3" s="1"/>
  <c r="X23" i="3"/>
  <c r="AB23" i="3" s="1"/>
  <c r="AF23" i="3" s="1"/>
  <c r="N54" i="3" s="1"/>
  <c r="N4" i="3" s="1"/>
  <c r="X21" i="3"/>
  <c r="AB21" i="3" s="1"/>
  <c r="AF21" i="3" s="1"/>
  <c r="L54" i="3" s="1"/>
  <c r="L4" i="3" s="1"/>
  <c r="X19" i="3"/>
  <c r="AB19" i="3" s="1"/>
  <c r="AF19" i="3" s="1"/>
  <c r="J54" i="3" s="1"/>
  <c r="J4" i="3" s="1"/>
  <c r="X17" i="3"/>
  <c r="AB17" i="3" s="1"/>
  <c r="AF17" i="3" s="1"/>
  <c r="H54" i="3" s="1"/>
  <c r="H4" i="3" s="1"/>
  <c r="X15" i="3"/>
  <c r="AB15" i="3" s="1"/>
  <c r="AF15" i="3" s="1"/>
  <c r="F54" i="3" s="1"/>
  <c r="F4" i="3" s="1"/>
  <c r="X30" i="3"/>
  <c r="AB30" i="3" s="1"/>
  <c r="AF30" i="3" s="1"/>
  <c r="U54" i="3" s="1"/>
  <c r="U4" i="3" s="1"/>
  <c r="X28" i="3"/>
  <c r="AB28" i="3" s="1"/>
  <c r="AF28" i="3" s="1"/>
  <c r="S54" i="3" s="1"/>
  <c r="S4" i="3" s="1"/>
  <c r="X26" i="3"/>
  <c r="AB26" i="3" s="1"/>
  <c r="AF26" i="3" s="1"/>
  <c r="Q54" i="3" s="1"/>
  <c r="Q4" i="3" s="1"/>
  <c r="X24" i="3"/>
  <c r="AB24" i="3" s="1"/>
  <c r="AF24" i="3" s="1"/>
  <c r="O54" i="3" s="1"/>
  <c r="O4" i="3" s="1"/>
  <c r="X22" i="3"/>
  <c r="AB22" i="3" s="1"/>
  <c r="AF22" i="3" s="1"/>
  <c r="M54" i="3" s="1"/>
  <c r="M4" i="3" s="1"/>
  <c r="X20" i="3"/>
  <c r="AB20" i="3" s="1"/>
  <c r="AF20" i="3" s="1"/>
  <c r="K54" i="3" s="1"/>
  <c r="K4" i="3" s="1"/>
  <c r="X18" i="3"/>
  <c r="AB18" i="3" s="1"/>
  <c r="AF18" i="3" s="1"/>
  <c r="I54" i="3" s="1"/>
  <c r="I4" i="3" s="1"/>
  <c r="X16" i="3"/>
  <c r="AB16" i="3" s="1"/>
  <c r="AF16" i="3" s="1"/>
  <c r="G54" i="3" s="1"/>
  <c r="G4" i="3" s="1"/>
  <c r="W30" i="3"/>
  <c r="AA30" i="3" s="1"/>
  <c r="AE30" i="3" s="1"/>
  <c r="W29" i="3"/>
  <c r="AA29" i="3" s="1"/>
  <c r="AE29" i="3" s="1"/>
  <c r="T52" i="3" s="1"/>
  <c r="T2" i="3" s="1"/>
  <c r="W28" i="3"/>
  <c r="AA28" i="3" s="1"/>
  <c r="AE28" i="3" s="1"/>
  <c r="S52" i="3" s="1"/>
  <c r="S2" i="3" s="1"/>
  <c r="W27" i="3"/>
  <c r="AA27" i="3" s="1"/>
  <c r="AE27" i="3" s="1"/>
  <c r="R52" i="3" s="1"/>
  <c r="R2" i="3" s="1"/>
  <c r="W26" i="3"/>
  <c r="AA26" i="3" s="1"/>
  <c r="AE26" i="3" s="1"/>
  <c r="Q52" i="3" s="1"/>
  <c r="Q2" i="3" s="1"/>
  <c r="W25" i="3"/>
  <c r="AA25" i="3" s="1"/>
  <c r="AE25" i="3" s="1"/>
  <c r="P52" i="3" s="1"/>
  <c r="P2" i="3" s="1"/>
  <c r="W24" i="3"/>
  <c r="AA24" i="3" s="1"/>
  <c r="AE24" i="3" s="1"/>
  <c r="O52" i="3" s="1"/>
  <c r="O2" i="3" s="1"/>
  <c r="W23" i="3"/>
  <c r="AA23" i="3" s="1"/>
  <c r="AE23" i="3" s="1"/>
  <c r="N52" i="3" s="1"/>
  <c r="N2" i="3" s="1"/>
  <c r="W22" i="3"/>
  <c r="AA22" i="3" s="1"/>
  <c r="AE22" i="3" s="1"/>
  <c r="M52" i="3" s="1"/>
  <c r="M2" i="3" s="1"/>
  <c r="W21" i="3"/>
  <c r="AA21" i="3" s="1"/>
  <c r="AE21" i="3" s="1"/>
  <c r="L52" i="3" s="1"/>
  <c r="L2" i="3" s="1"/>
  <c r="W20" i="3"/>
  <c r="AA20" i="3" s="1"/>
  <c r="AE20" i="3" s="1"/>
  <c r="K52" i="3" s="1"/>
  <c r="K2" i="3" s="1"/>
  <c r="W19" i="3"/>
  <c r="AA19" i="3" s="1"/>
  <c r="AE19" i="3" s="1"/>
  <c r="J52" i="3" s="1"/>
  <c r="J2" i="3" s="1"/>
  <c r="W18" i="3"/>
  <c r="AA18" i="3" s="1"/>
  <c r="AE18" i="3" s="1"/>
  <c r="I52" i="3" s="1"/>
  <c r="I2" i="3" s="1"/>
  <c r="W17" i="3"/>
  <c r="AA17" i="3" s="1"/>
  <c r="AE17" i="3" s="1"/>
  <c r="H52" i="3" s="1"/>
  <c r="H2" i="3" s="1"/>
  <c r="W16" i="3"/>
  <c r="AA16" i="3" s="1"/>
  <c r="AE16" i="3" s="1"/>
  <c r="G52" i="3" s="1"/>
  <c r="G2" i="3" s="1"/>
  <c r="W15" i="3"/>
  <c r="AA15" i="3" s="1"/>
  <c r="AE15" i="3" s="1"/>
  <c r="V30" i="3"/>
  <c r="Z30" i="3" s="1"/>
  <c r="AD30" i="3" s="1"/>
  <c r="U53" i="3" s="1"/>
  <c r="U3" i="3" s="1"/>
  <c r="V29" i="3"/>
  <c r="Z29" i="3" s="1"/>
  <c r="AD29" i="3" s="1"/>
  <c r="T53" i="3" s="1"/>
  <c r="T3" i="3" s="1"/>
  <c r="V28" i="3"/>
  <c r="Z28" i="3" s="1"/>
  <c r="AD28" i="3" s="1"/>
  <c r="S53" i="3" s="1"/>
  <c r="S3" i="3" s="1"/>
  <c r="V27" i="3"/>
  <c r="Z27" i="3" s="1"/>
  <c r="AD27" i="3" s="1"/>
  <c r="R53" i="3" s="1"/>
  <c r="R3" i="3" s="1"/>
  <c r="V26" i="3"/>
  <c r="Z26" i="3" s="1"/>
  <c r="AD26" i="3" s="1"/>
  <c r="Q53" i="3" s="1"/>
  <c r="Q3" i="3" s="1"/>
  <c r="V25" i="3"/>
  <c r="Z25" i="3" s="1"/>
  <c r="AD25" i="3" s="1"/>
  <c r="P53" i="3" s="1"/>
  <c r="P3" i="3" s="1"/>
  <c r="V24" i="3"/>
  <c r="Z24" i="3" s="1"/>
  <c r="AD24" i="3" s="1"/>
  <c r="O53" i="3" s="1"/>
  <c r="O3" i="3" s="1"/>
  <c r="V23" i="3"/>
  <c r="Z23" i="3" s="1"/>
  <c r="AD23" i="3" s="1"/>
  <c r="N53" i="3" s="1"/>
  <c r="N3" i="3" s="1"/>
  <c r="V22" i="3"/>
  <c r="Z22" i="3" s="1"/>
  <c r="AD22" i="3" s="1"/>
  <c r="M53" i="3" s="1"/>
  <c r="M3" i="3" s="1"/>
  <c r="V21" i="3"/>
  <c r="Z21" i="3" s="1"/>
  <c r="AD21" i="3" s="1"/>
  <c r="L53" i="3" s="1"/>
  <c r="L3" i="3" s="1"/>
  <c r="K53" i="3"/>
  <c r="K3" i="3" s="1"/>
  <c r="V19" i="3"/>
  <c r="Z19" i="3" s="1"/>
  <c r="AD19" i="3" s="1"/>
  <c r="J53" i="3" s="1"/>
  <c r="J3" i="3" s="1"/>
  <c r="V18" i="3"/>
  <c r="Z18" i="3" s="1"/>
  <c r="AD18" i="3" s="1"/>
  <c r="I53" i="3" s="1"/>
  <c r="I3" i="3" s="1"/>
  <c r="V17" i="3"/>
  <c r="Z17" i="3" s="1"/>
  <c r="AD17" i="3" s="1"/>
  <c r="H53" i="3" s="1"/>
  <c r="H3" i="3" s="1"/>
  <c r="V16" i="3"/>
  <c r="Z16" i="3" s="1"/>
  <c r="AD16" i="3" s="1"/>
  <c r="G53" i="3" s="1"/>
  <c r="G3" i="3" s="1"/>
  <c r="V15" i="3"/>
  <c r="Z15" i="3" s="1"/>
  <c r="AD15" i="3" s="1"/>
  <c r="F53" i="3" s="1"/>
  <c r="F3" i="3" s="1"/>
  <c r="K6" i="3" l="1"/>
  <c r="S6" i="3"/>
  <c r="L6" i="3"/>
  <c r="P6" i="3"/>
  <c r="T6" i="3"/>
  <c r="O6" i="3"/>
  <c r="M6" i="3"/>
  <c r="Q6" i="3"/>
  <c r="N6" i="3"/>
  <c r="R6" i="3"/>
  <c r="F52" i="3"/>
  <c r="F2" i="3" s="1"/>
  <c r="U52" i="3"/>
  <c r="U2" i="3" s="1"/>
  <c r="U6" i="3" s="1"/>
  <c r="AC15" i="3"/>
  <c r="AG15" i="3" s="1"/>
  <c r="F55" i="3" s="1"/>
  <c r="F5" i="3" s="1"/>
  <c r="AC17" i="3"/>
  <c r="AG17" i="3" s="1"/>
  <c r="H55" i="3" s="1"/>
  <c r="H5" i="3" s="1"/>
  <c r="H6" i="3" s="1"/>
  <c r="AC16" i="3"/>
  <c r="AG16" i="3" s="1"/>
  <c r="G55" i="3" s="1"/>
  <c r="G5" i="3" s="1"/>
  <c r="G6" i="3" s="1"/>
  <c r="AC18" i="3"/>
  <c r="AG18" i="3" s="1"/>
  <c r="I55" i="3" s="1"/>
  <c r="I5" i="3" s="1"/>
  <c r="I6" i="3" s="1"/>
  <c r="AC19" i="3"/>
  <c r="AG19" i="3" s="1"/>
  <c r="J55" i="3" s="1"/>
  <c r="J5" i="3" s="1"/>
  <c r="J6" i="3" s="1"/>
  <c r="AC14" i="3"/>
  <c r="AG14" i="3" s="1"/>
  <c r="E55" i="3" s="1"/>
  <c r="E5" i="3" s="1"/>
  <c r="E52" i="3"/>
  <c r="E2" i="3" s="1"/>
  <c r="AB14" i="3"/>
  <c r="AF14" i="3" s="1"/>
  <c r="E54" i="3" s="1"/>
  <c r="E4" i="3" s="1"/>
  <c r="L4" i="2"/>
  <c r="M4" i="2"/>
  <c r="N4" i="2"/>
  <c r="O4" i="2"/>
  <c r="P4" i="2"/>
  <c r="Q4" i="2"/>
  <c r="R4" i="2"/>
  <c r="S4" i="2"/>
  <c r="T4" i="2"/>
  <c r="U4" i="2"/>
  <c r="F6" i="3" l="1"/>
  <c r="E6" i="3"/>
  <c r="O72" i="9"/>
  <c r="N72" i="9"/>
  <c r="M72" i="9"/>
  <c r="L72" i="9"/>
  <c r="K72" i="9"/>
  <c r="J72" i="9"/>
  <c r="I72" i="9"/>
  <c r="H72" i="9"/>
  <c r="G72" i="9"/>
  <c r="F72" i="9"/>
  <c r="E72" i="9"/>
  <c r="D72" i="9"/>
  <c r="C72" i="9"/>
  <c r="E4" i="9" s="1"/>
  <c r="E5" i="9" s="1"/>
  <c r="O71" i="9"/>
  <c r="N71" i="9"/>
  <c r="M71" i="9"/>
  <c r="L71" i="9"/>
  <c r="K71" i="9"/>
  <c r="J71" i="9"/>
  <c r="H71" i="9"/>
  <c r="O70" i="9"/>
  <c r="Q2" i="9" s="1"/>
  <c r="N70" i="9"/>
  <c r="P2" i="9" s="1"/>
  <c r="M70" i="9"/>
  <c r="O2" i="9" s="1"/>
  <c r="L70" i="9"/>
  <c r="N2" i="9" s="1"/>
  <c r="K70" i="9"/>
  <c r="M2" i="9" s="1"/>
  <c r="J70" i="9"/>
  <c r="L2" i="9" s="1"/>
  <c r="H70" i="9"/>
  <c r="J2" i="9" s="1"/>
  <c r="F70" i="9"/>
  <c r="H2" i="9" s="1"/>
  <c r="E70" i="9"/>
  <c r="G2" i="9" s="1"/>
  <c r="Q72" i="9"/>
  <c r="P72" i="9"/>
  <c r="Q46" i="9"/>
  <c r="Q71" i="9" s="1"/>
  <c r="Q45" i="9"/>
  <c r="Q70" i="9" s="1"/>
  <c r="S2" i="9" s="1"/>
  <c r="O42" i="9"/>
  <c r="N36" i="9"/>
  <c r="M30" i="9"/>
  <c r="L30" i="9"/>
  <c r="K30" i="9"/>
  <c r="J30" i="9"/>
  <c r="I30" i="9"/>
  <c r="H30" i="9"/>
  <c r="G30" i="9"/>
  <c r="F30" i="9"/>
  <c r="E30" i="9"/>
  <c r="D30" i="9"/>
  <c r="L25" i="9"/>
  <c r="K25" i="9"/>
  <c r="J25" i="9"/>
  <c r="I25" i="9"/>
  <c r="H25" i="9"/>
  <c r="G25" i="9"/>
  <c r="F25" i="9"/>
  <c r="E25" i="9"/>
  <c r="I4" i="9" l="1"/>
  <c r="I5" i="9" s="1"/>
  <c r="Q4" i="9"/>
  <c r="P3" i="9"/>
  <c r="J4" i="9"/>
  <c r="O3" i="9"/>
  <c r="Q3" i="9"/>
  <c r="Q5" i="9" s="1"/>
  <c r="K4" i="9"/>
  <c r="K5" i="9" s="1"/>
  <c r="J3" i="9"/>
  <c r="L4" i="9"/>
  <c r="S3" i="9"/>
  <c r="M4" i="9"/>
  <c r="S4" i="9"/>
  <c r="L3" i="9"/>
  <c r="L5" i="9" s="1"/>
  <c r="F4" i="9"/>
  <c r="F5" i="9" s="1"/>
  <c r="N4" i="9"/>
  <c r="M3" i="9"/>
  <c r="G4" i="9"/>
  <c r="G5" i="9" s="1"/>
  <c r="O4" i="9"/>
  <c r="R4" i="9"/>
  <c r="N3" i="9"/>
  <c r="H4" i="9"/>
  <c r="H5" i="9" s="1"/>
  <c r="P4" i="9"/>
  <c r="P48" i="9"/>
  <c r="P40" i="9"/>
  <c r="P39" i="9"/>
  <c r="Q73" i="9"/>
  <c r="D73" i="9"/>
  <c r="E73" i="9"/>
  <c r="F73" i="9"/>
  <c r="G73" i="9"/>
  <c r="H73" i="9"/>
  <c r="I73" i="9"/>
  <c r="J73" i="9"/>
  <c r="K73" i="9"/>
  <c r="L73" i="9"/>
  <c r="M73" i="9"/>
  <c r="N73" i="9"/>
  <c r="O73" i="9"/>
  <c r="S73" i="9"/>
  <c r="T73" i="9"/>
  <c r="C73" i="9"/>
  <c r="N5" i="9" l="1"/>
  <c r="S5" i="9"/>
  <c r="P5" i="9"/>
  <c r="M5" i="9"/>
  <c r="O5" i="9"/>
  <c r="J5" i="9"/>
  <c r="R73" i="9"/>
  <c r="P46" i="9"/>
  <c r="P71" i="9" s="1"/>
  <c r="P45" i="9"/>
  <c r="P70" i="9" s="1"/>
  <c r="R2" i="9" s="1"/>
  <c r="R3" i="9" l="1"/>
  <c r="R5" i="9" s="1"/>
  <c r="P73" i="9"/>
  <c r="C8" i="25" l="1"/>
  <c r="C9" i="25" s="1"/>
  <c r="C10" i="25" l="1"/>
  <c r="C11" i="25" l="1"/>
  <c r="R10" i="25"/>
  <c r="X2" i="25" s="1"/>
  <c r="Q9" i="25"/>
  <c r="Q8" i="25" l="1"/>
  <c r="R9" i="25"/>
  <c r="W2" i="25" s="1"/>
  <c r="C12" i="25"/>
  <c r="R11" i="25"/>
  <c r="Y2" i="25" s="1"/>
  <c r="C13" i="25" l="1"/>
  <c r="R12" i="25"/>
  <c r="Z2" i="25" s="1"/>
  <c r="Q7" i="25"/>
  <c r="R7" i="25" s="1"/>
  <c r="U2" i="25" s="1"/>
  <c r="R8" i="25"/>
  <c r="V2" i="25" s="1"/>
  <c r="B2" i="27"/>
  <c r="R13" i="25" l="1"/>
  <c r="AA2" i="25" s="1"/>
  <c r="C14" i="25"/>
  <c r="C15" i="25" l="1"/>
  <c r="R14" i="25"/>
  <c r="AB2" i="25" s="1"/>
  <c r="C16" i="25" l="1"/>
  <c r="R16" i="25" s="1"/>
  <c r="AD2" i="25" s="1"/>
  <c r="R15" i="25"/>
  <c r="AC2" i="25" s="1"/>
</calcChain>
</file>

<file path=xl/sharedStrings.xml><?xml version="1.0" encoding="utf-8"?>
<sst xmlns="http://schemas.openxmlformats.org/spreadsheetml/2006/main" count="1655" uniqueCount="522">
  <si>
    <t>Total prescription opioid Rx IQVIA</t>
  </si>
  <si>
    <t>Total Rx MME prescribed IQVIA</t>
  </si>
  <si>
    <t>Total overdose deaths base heroin NVSS</t>
  </si>
  <si>
    <t>Total overdose deaths base Rx NVSS</t>
  </si>
  <si>
    <t>Total overdose deaths synth heroin NVSS</t>
  </si>
  <si>
    <t>Fentanyl penetration curve NFLIS</t>
  </si>
  <si>
    <t>Tx point patients OTP MMT NSSATS</t>
  </si>
  <si>
    <t>Tx point patients Viv IQVIA</t>
  </si>
  <si>
    <t>Tx annual BUP patients IQVIA TPT</t>
  </si>
  <si>
    <t>Rx OUD no PY heroin NSDUH</t>
  </si>
  <si>
    <t>HUD NSDUH</t>
  </si>
  <si>
    <t>Population</t>
  </si>
  <si>
    <t>HUD NSDUH RAND</t>
  </si>
  <si>
    <t>Nondisordered heroin use NSDUH RAND</t>
  </si>
  <si>
    <t>Rx OUD + H NSDUH RAND</t>
  </si>
  <si>
    <t>Initiating heroin with Rx OUD NSDUH RDAS RAND</t>
  </si>
  <si>
    <t>Initiating heroin with Rx misuse NSDUH RDAS RAND</t>
  </si>
  <si>
    <t>Total heroin initiation SAMHSA RAND</t>
  </si>
  <si>
    <t>Total Rx misuse initiation SAMHSA</t>
  </si>
  <si>
    <t>Initiating Rx misuse diverted RDAS SAMHSA</t>
  </si>
  <si>
    <t>Initiating Rx misuse own Rx RDAS SAMHSA</t>
  </si>
  <si>
    <t>Total heroin initiation SAMHSA</t>
  </si>
  <si>
    <t>Initiating heroin with Rx OUD NSDUH RDAS</t>
  </si>
  <si>
    <t>Heroin price index DATA</t>
  </si>
  <si>
    <t>This is a sheet documenting the heroin retail prices and wholesale prices over time and their index calculations.</t>
  </si>
  <si>
    <t>Source</t>
  </si>
  <si>
    <t>Comments</t>
  </si>
  <si>
    <t>Heroin retail price ($/mg)</t>
  </si>
  <si>
    <t>Unick et al. 2014 / STRIDE</t>
  </si>
  <si>
    <t xml:space="preserve">Sources: Unick et al 2014 (STRIDE 1993-2008; read from graph), and Jack Homer analysis of DEA STRIDE 2008-2016; use Unick defn of retail&lt;1 gram.  2008 value here splits difference between Unick's .675 and our .522.  '2011' value is from pooled 2010-2012; '2015' value is from pooled 2014-2016.																	</t>
  </si>
  <si>
    <t>Heroin retail price indexed to 2007</t>
  </si>
  <si>
    <t xml:space="preserve">Retail price of heroin normalized to 2007. To do this, each heroin retail price from row 2 was divided by the the heroin retail price for 2007 in I2 (0.60 $/mg). Ex: E3=E2/I2. </t>
  </si>
  <si>
    <t xml:space="preserve">Heroin wholesale price ($/kg) </t>
  </si>
  <si>
    <t>https://dataunodc.un.org/drugs/heroin_and_cocaine_prices_in_eu_and_usa-2017; https://dataunodc.un.org/data/drugs/Wholesale%20drug%20price</t>
  </si>
  <si>
    <t>Wholesale price of heroin in the United States, in inflation-adjusted 2017 US$ per kilogram. For 2018, used average of low and high range across 3 types of heroin from here https://dataunodc.un.org/data/drugs/Wholesale%20drug%20price; for 2019, used the average of the high and low for the one reported 'heroin' value</t>
  </si>
  <si>
    <t>Heroin wholesale price indexed to 2007</t>
  </si>
  <si>
    <t>Wholesale price of heroin normalized to 2007. To do this, each heroin wholesale price from row 8 was divided by the heroin wholesale price for 2007 in G8 (84173 $/kg). Ex: J5=J4/I4.</t>
  </si>
  <si>
    <t>Average heroin price indexed to 2007</t>
  </si>
  <si>
    <t>Synthesis of retail price and wholesale price time series normalized to 2007. To do this, the heroin retail price indexed to 2007 and the heroin wholesale price indexed to 2007 were averaged (Ex: J6=(J3+J5)/2). If both indexes were not available, the available index was recorded (Ex: D6=D3 and N6=N5).</t>
  </si>
  <si>
    <t>Combined heroin price indexed to 2002</t>
  </si>
  <si>
    <t>Synthesis that was normalized to 2007 re-indexed to 2002. To do this, each of the syntheses in row 10 were divided by the synthesis in B10 (1.12605042).</t>
  </si>
  <si>
    <t>Combined heroin price indexed to 1999</t>
  </si>
  <si>
    <t>*Not using 2019 until more evidence it dropped this much</t>
  </si>
  <si>
    <t>Synthesis that was normalized to 2007 re-indexed to 1999. To do this, each of the syntheses in row 10 were divided by the synthesis in B10 (1.12605042).</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</si>
  <si>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</si>
  <si>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</si>
  <si>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</si>
  <si>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</si>
  <si>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</si>
  <si>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</si>
  <si>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Tx monthly patients Bup IQVIA TPT</t>
  </si>
  <si>
    <t>T1</t>
  </si>
  <si>
    <t>T2</t>
  </si>
  <si>
    <t>Y1</t>
  </si>
  <si>
    <t>Y2</t>
  </si>
  <si>
    <t>Time</t>
  </si>
  <si>
    <t>Bup 30 providers DATA</t>
  </si>
  <si>
    <t>Bup 100 providers DATA</t>
  </si>
  <si>
    <t>Bup 275 providers DATA</t>
  </si>
  <si>
    <t>Bup providers DATA</t>
  </si>
  <si>
    <t>As of May 18, 2021: 100158; As of July 22, 2021: 103505; as of December 21, 2021: 113691; as of January 3, 2022: 114376 (used this data because it had breakdown at each level)</t>
  </si>
  <si>
    <t>https://www.samhsa.gov/medication-assisted-treatment/practitioner-resources/DATA-program-data</t>
  </si>
  <si>
    <t>Kissin 2006 Experiences of a National Sample of Qualified Addiction Specialists Who Have and Have Not Prescribed Buprenorphine for Opioid Dependence  http://www.ncbi.nlm.nih.gov/pubmed/17088229</t>
  </si>
  <si>
    <t>Number of providers waivered to treat 30 patients at a given time</t>
  </si>
  <si>
    <t>Total waivered providers</t>
  </si>
  <si>
    <t>Fiellin 2007 The First Three Years of Buprenorphine in the United States: Experience to Date and Future Directions</t>
  </si>
  <si>
    <t>Arfken 2010 Expanding treatment capacity for opioid dependence with office-based
treatment with buprenorphine: National surveys of physicians</t>
  </si>
  <si>
    <t>Number of providers waivered to treat 100 patients at a given time</t>
  </si>
  <si>
    <t>Number of providers waivered to treat 275 patients at a given time</t>
  </si>
  <si>
    <t>*of those on locator list, 80-87% prescribed to at least 1 patient in last 90 days (from 2004-08); % with current patients was 76% in 2004 to 86% in 2008; of those not on locator list, 65-67% had prescribed in last 90 days (from 2006-08) and % with current patients was 63% in 2006 and 2008</t>
  </si>
  <si>
    <t>Stein et al 2015 Where Is Buprenorphine Dispensed to Treat Opioid Use Disorders? The Role of Private Offices, Opioid Treatment Programs, and Substance Abuse Treatment Facilities in Urban and Rural Counties. https://onlinelibrary.wiley.com/doi/epdf/10.1111/1468-0009.12137</t>
  </si>
  <si>
    <t>Jones et al 2015: https://dx.doi.org/10.2105%2FAJPH.2015.302664</t>
  </si>
  <si>
    <t>Knudsen 2015 https://doi.org/10.15288/jsad.2015.76.644</t>
  </si>
  <si>
    <t>2014 Buprenorphine Summit https://www.samhsa.gov/sites/default/files/proceedings_of_2014_buprenorphine_summit_030915_508.pdf</t>
  </si>
  <si>
    <t>Fraction of each</t>
  </si>
  <si>
    <t>HHS, 2016. Proposed Rule: Medication Assisted Treatment for Opioid Use Disorders. Federal Register document citation no. 81 FR 17639. (https://www.federalregister.gov/documents/2016/03/30/2016-07128/medication-assisted-treatment-for-opioid-use-disorders)</t>
  </si>
  <si>
    <t>McBain 2019 used to estimate fractions https://doi.org/10.7326/M19-2403</t>
  </si>
  <si>
    <t>*estimates</t>
  </si>
  <si>
    <t>Abraham 2020 Availability of Medications for the Treatment of Alcohol and Opioid
Use Disorder in the USA</t>
  </si>
  <si>
    <t>*analysis from last quarter of 2017</t>
  </si>
  <si>
    <t>*analysis from first quarter of 2019</t>
  </si>
  <si>
    <t>CRS Report 2018 (Buprenorphine and the Opioid Crisis: A Primer for Congress. https://fas.org/sgp/crs/misc/R45279.pdf) and 2019 (Location of Medication-Assisted Treatment for Opioid Addiction: In Brief. https://fas.org/sgp/crs/misc/R45782.pdf)</t>
  </si>
  <si>
    <t xml:space="preserve">Source for 2020 data: https://www.samhsa.gov/medication-assisted-treatment/practitioner-resources/DATA-program-data as of 12/30/20 </t>
  </si>
  <si>
    <t>Total Providers*</t>
  </si>
  <si>
    <t>This table contains data from NSSATS on numbers of patients receiving methadone.</t>
  </si>
  <si>
    <t>Clients Not Counted in 2018</t>
  </si>
  <si>
    <t xml:space="preserve"> </t>
  </si>
  <si>
    <t>Average of 1998 and 2000 numbers - client counts not collected in '99</t>
  </si>
  <si>
    <t>Average of 2000 and 2002, survey updates resulted in no data collection in 2001</t>
  </si>
  <si>
    <t>reports contradict - went with later</t>
  </si>
  <si>
    <t>imputed</t>
  </si>
  <si>
    <t>https://www.samhsa.gov/data/sites/default/files/report_3192/ShortReport-3192.html</t>
  </si>
  <si>
    <t>https://wwwdasis.samhsa.gov/dasis2/nssats/NSSATS_2019/2019-NSSATS-R.pdf</t>
  </si>
  <si>
    <t>This is the sum of inpatient, outpatient, and residential methadone clients from source data</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</si>
  <si>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</si>
  <si>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</si>
  <si>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</si>
  <si>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</si>
  <si>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</si>
  <si>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</si>
  <si>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</si>
  <si>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</si>
  <si>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</si>
  <si>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</si>
  <si>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</si>
  <si>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</si>
  <si>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</si>
  <si>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</si>
  <si>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</si>
  <si>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</si>
  <si>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</si>
  <si>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</si>
  <si>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</si>
  <si>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</si>
  <si>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</si>
  <si>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</si>
  <si>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year</t>
  </si>
  <si>
    <t xml:space="preserve">total number of Vivitrol units </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</si>
  <si>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</si>
  <si>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</si>
  <si>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</si>
  <si>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</si>
  <si>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</si>
  <si>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</si>
  <si>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communication,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</si>
  <si>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</si>
  <si>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</si>
  <si>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</si>
  <si>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</si>
  <si>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</si>
  <si>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</si>
  <si>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</si>
  <si>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</si>
  <si>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</si>
  <si>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</si>
  <si>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</si>
  <si>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</si>
  <si>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</si>
  <si>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</si>
  <si>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</si>
  <si>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</si>
  <si>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</si>
  <si>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</si>
  <si>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</si>
  <si>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</si>
  <si>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</si>
  <si>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Doe-Simkins 2021**</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</si>
  <si>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</si>
  <si>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</si>
  <si>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</si>
  <si>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2020 value: Maya Doe-Simkins report of Buyers' club purchases on 5/24/2021; also see https://remedyallianceftp.org/buyers-club-faq</t>
  </si>
  <si>
    <t>*During recent 12-month period (2009 or July 2009–June 2010)</t>
  </si>
  <si>
    <t>**Injectable only, through OSNN naloxone buyer's club</t>
  </si>
  <si>
    <t>% of all OD reversals that were for opioid other than Rx, from Wheeler 2015</t>
  </si>
  <si>
    <t>National Forensic Laboratory Information System: NFLIS-Drug September 2021 Snapshot (usdoj.gov)</t>
  </si>
  <si>
    <t xml:space="preserve">*ANPP should not be included as it's a precursor of fentanyl and not an analgesic </t>
  </si>
  <si>
    <t>2020NFLISWebsiteTable1.pdf</t>
  </si>
  <si>
    <t>National Forensic Laboratory Information System: NFLIS-Drug June 2021 Snapshot (usdoj.gov)</t>
  </si>
  <si>
    <t>Substance</t>
  </si>
  <si>
    <t>Count</t>
  </si>
  <si>
    <t>% of opioids</t>
  </si>
  <si>
    <t>Heroin</t>
  </si>
  <si>
    <t>Oxycodone</t>
  </si>
  <si>
    <t>Dihydroxycodeinone</t>
  </si>
  <si>
    <t>Hydrocodone</t>
  </si>
  <si>
    <t>Buprenorphine</t>
  </si>
  <si>
    <t>Morphine</t>
  </si>
  <si>
    <t>Methadone</t>
  </si>
  <si>
    <t>Codeine</t>
  </si>
  <si>
    <t>Tramadol</t>
  </si>
  <si>
    <t>Hydromorphone</t>
  </si>
  <si>
    <t>Dihydrocodeine</t>
  </si>
  <si>
    <t>Oxymorphone</t>
  </si>
  <si>
    <t>6-Monoacetylmorphine</t>
  </si>
  <si>
    <t>Monoacetyl morphine</t>
  </si>
  <si>
    <t>Opiates</t>
  </si>
  <si>
    <t>Fentanyl</t>
  </si>
  <si>
    <t>Xylazine</t>
  </si>
  <si>
    <t>Acetyl fentanyl</t>
  </si>
  <si>
    <t xml:space="preserve">Fluoroisobutyryl fentanyl </t>
  </si>
  <si>
    <t>Methoxyacetyl fentanyl</t>
  </si>
  <si>
    <t xml:space="preserve">Cyclopropyl fentanyl </t>
  </si>
  <si>
    <t xml:space="preserve">4-Fluoroisobutyryl fentanyl </t>
  </si>
  <si>
    <t>Carfentanil</t>
  </si>
  <si>
    <t>Furanyl fentanyl</t>
  </si>
  <si>
    <t>Acryl fentanyl</t>
  </si>
  <si>
    <t>3-methylfentanyl</t>
  </si>
  <si>
    <t>valeryl fentanyl</t>
  </si>
  <si>
    <t>Sum non-fentanyl synthetics</t>
  </si>
  <si>
    <t>Sum Synthetics</t>
  </si>
  <si>
    <t>Sum Rx opioids</t>
  </si>
  <si>
    <t>fentanyl fraction of heroin + fent market</t>
  </si>
  <si>
    <t>Total</t>
  </si>
  <si>
    <t>ADF fraction of prescribed Rx opioids base</t>
  </si>
  <si>
    <t xml:space="preserve">Patients receiving opioid prescription IQVIA </t>
  </si>
  <si>
    <t>Estimated annual patients who received opioid analgesic prescriptions dispensed from U.S. outpatient retail pharmacies</t>
  </si>
  <si>
    <t>Estimated number of opioid analgesic prescriptions dispensed from U.S. outpatient pharmacies, retail and mail only included here. Included are all opioid analgesics, all formulations from IQVIA's National Prescription Audit (NPA).</t>
  </si>
  <si>
    <t>Peak prescribing**</t>
  </si>
  <si>
    <t>Estimated opioid analgesic oral morphine milligram equivalents* (MME) dispensed from U.S. outpatient pharmacies IQVIA</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</si>
  <si>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</si>
  <si>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</si>
  <si>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</si>
  <si>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 xml:space="preserve">MME conversion factors: Source: https://www.cdc.gov/drugoverdose/pdf/calculating_total_daily_dose-a.pdf </t>
  </si>
  <si>
    <t>ADF opioid products included:</t>
  </si>
  <si>
    <t>HYSINGLA ER</t>
  </si>
  <si>
    <t>ARYMO ER</t>
  </si>
  <si>
    <t>MORPHABOND ER</t>
  </si>
  <si>
    <t>EMBEDA</t>
  </si>
  <si>
    <t>OXYCONTIN</t>
  </si>
  <si>
    <t>ROXYBOND</t>
  </si>
  <si>
    <t>XTAMPZA ER</t>
  </si>
  <si>
    <t>ADF fraction of prescribed Rx opioids base IQVIA</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</si>
  <si>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</si>
  <si>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Calculations for 1999-2001 MMEs based on Dasgupta 2006 &amp; ARCOS 1999-2001 reports</t>
  </si>
  <si>
    <t>Meperidine</t>
  </si>
  <si>
    <t>Propoxyphene</t>
  </si>
  <si>
    <t>Pentazocine</t>
  </si>
  <si>
    <r>
      <t xml:space="preserve">Dasgupta 2006 kgs / </t>
    </r>
    <r>
      <rPr>
        <b/>
        <sz val="11"/>
        <color rgb="FFFF0000"/>
        <rFont val="Calibri"/>
        <family val="2"/>
        <scheme val="minor"/>
      </rPr>
      <t>ARCOS kgs purchased by pharmacy</t>
    </r>
    <r>
      <rPr>
        <b/>
        <sz val="11"/>
        <color theme="1"/>
        <rFont val="Calibri"/>
        <family val="2"/>
        <scheme val="minor"/>
      </rPr>
      <t xml:space="preserve"> </t>
    </r>
  </si>
  <si>
    <t xml:space="preserve">Fentanyl </t>
  </si>
  <si>
    <t>*Hydromorphone from ARCOS is higher, at 223, 257, and 306 for 1999-2001</t>
  </si>
  <si>
    <t>Hydrocodone was 19725 in Dasgupta but not reported in ARCOS for 1999</t>
  </si>
  <si>
    <t>Methadone in ARCOS only 1893 total; codeine in Dasgupta was 35,433 but not reported in ARCOS in earlier years</t>
  </si>
  <si>
    <t>FDA conversion 2018 https://www.fda.gov/media/111695/download</t>
  </si>
  <si>
    <t>Fentanyl (patch)</t>
  </si>
  <si>
    <t>Propoxyphene*</t>
  </si>
  <si>
    <t>*https://www.ncbi.nlm.nih.gov/pmc/articles/PMC6514531/</t>
  </si>
  <si>
    <t>ARCOS kgs - pharmacy only</t>
  </si>
  <si>
    <t>Total overdose deaths synth no H NVSS</t>
  </si>
  <si>
    <t>Total overdose deaths NVSS</t>
  </si>
  <si>
    <t>FATAL OVERDOSES:</t>
  </si>
  <si>
    <t>see detailed description of mutual exclusive categories below</t>
  </si>
  <si>
    <t>Pure Deaths per category</t>
  </si>
  <si>
    <t>Percentage of total that are not other only</t>
  </si>
  <si>
    <t>Additional in each category allocated from "Other"</t>
  </si>
  <si>
    <t>Actual Total Deaths per Category</t>
  </si>
  <si>
    <t xml:space="preserve">(1) rx opioids only </t>
  </si>
  <si>
    <t>(2) rx opioids w/ synth</t>
  </si>
  <si>
    <t>(3) rx opioids w/ heroin</t>
  </si>
  <si>
    <t>(4) rx opioids w/ other</t>
  </si>
  <si>
    <t>(5) rx multiple</t>
  </si>
  <si>
    <t>(6) heroin only</t>
  </si>
  <si>
    <t>(7) heroin w/ synth</t>
  </si>
  <si>
    <t>(8) heroin w/ other</t>
  </si>
  <si>
    <t>(9) heroin multiple</t>
  </si>
  <si>
    <t>(10) synth only</t>
  </si>
  <si>
    <t>(11) synth w/ other</t>
  </si>
  <si>
    <t>(12) other only</t>
  </si>
  <si>
    <t>total fatal overdoses</t>
  </si>
  <si>
    <t>Total check</t>
  </si>
  <si>
    <t>Rx deaths</t>
  </si>
  <si>
    <t>Heroin deaths</t>
  </si>
  <si>
    <t>Synth no H Deaths</t>
  </si>
  <si>
    <t>Synth + H deaths</t>
  </si>
  <si>
    <t>Rx deaths % of total</t>
  </si>
  <si>
    <t>Heroin deaths % of total</t>
  </si>
  <si>
    <t>Synth no H Deaths % of total</t>
  </si>
  <si>
    <t>Synth + H deaths % of total</t>
  </si>
  <si>
    <t xml:space="preserve">Mutually exclusive fatal overdose categories; used following decision rules:  </t>
  </si>
  <si>
    <t>(1)</t>
  </si>
  <si>
    <t>rx (incl. methadone) only; no heroin, synth or other</t>
  </si>
  <si>
    <t>(2)</t>
  </si>
  <si>
    <t>rx (incl. methadone) w/ synth; no heroin or other</t>
  </si>
  <si>
    <t>(3)</t>
  </si>
  <si>
    <t>rx (incl. methadone) w/ heroin; no synth or other</t>
  </si>
  <si>
    <t>(4)</t>
  </si>
  <si>
    <t>rx (incl. methadone) w/ other; no heroin or synth</t>
  </si>
  <si>
    <t>Combined overdose categories as follows:</t>
  </si>
  <si>
    <t>(5)</t>
  </si>
  <si>
    <t>rx multiple (incl. methadone), includes at least 3 substances; but not heroin</t>
  </si>
  <si>
    <t>Includes Rx only (1), Rx + other (4)</t>
  </si>
  <si>
    <t>(6)</t>
  </si>
  <si>
    <t>heroin only; no rx (incl. methadone), synth or other</t>
  </si>
  <si>
    <t>Includes Heroin only (6), Rx + heroin (3), heroin + other (8)</t>
  </si>
  <si>
    <t>(7)</t>
  </si>
  <si>
    <t>heroin w/ synth; no rx (incl. methadone) or other</t>
  </si>
  <si>
    <t>Includes Rx+synth (2), Rx multiple (5), synth only(10), synth w/ other (11)</t>
  </si>
  <si>
    <t>(8)</t>
  </si>
  <si>
    <t>heroin w/ other; no rx (incl. methadone) or synth</t>
  </si>
  <si>
    <t>Includes Heroin+synth (7), heroin multiple (9)</t>
  </si>
  <si>
    <t>(9)</t>
  </si>
  <si>
    <t>heroin multiple; includes at least 3 substances (can include rx and/or methadone)</t>
  </si>
  <si>
    <t>Unspecified opioids (12) distributed proportionally across all other categories</t>
  </si>
  <si>
    <t>(10)</t>
  </si>
  <si>
    <t>synth only; no rx (incl. methadone), heroin or other</t>
  </si>
  <si>
    <t>(11)</t>
  </si>
  <si>
    <t>synth w/ other, no rx (incl. methadone) or heroin</t>
  </si>
  <si>
    <t>(12)</t>
  </si>
  <si>
    <t>other only,  no rx (incl. methadone), heroin or synth</t>
  </si>
  <si>
    <t>Initiating NDHU with Rx misuse NSDUH RDAS</t>
  </si>
  <si>
    <t>Initiating NDHU no Rx NSDUH RDAS</t>
  </si>
  <si>
    <t xml:space="preserve">This sheet contains a number of estimates compiled from the restricted NSDUH data access tool called RDAS (found here: https://rdas.samhsa.gov/#/) in combination with SAMHSA annual reports. Because ages, and survey dates are inaccessible in the public use files, it is not possible to accurately get at dates and years of initiation. This leads to slight inconsistencies as the RDAS numbers are rounded. </t>
  </si>
  <si>
    <t>Total Past Year Heroin Users</t>
  </si>
  <si>
    <t>Lifetime but not Past Year Heroin</t>
  </si>
  <si>
    <t>Total Past Year Heroin Initiates</t>
  </si>
  <si>
    <t>Heroin Initiates with Lifetime Rx</t>
  </si>
  <si>
    <t>Heroin Initiates with past year Rx OUD</t>
  </si>
  <si>
    <t>Heroin Initiates with past year Rx Misuse</t>
  </si>
  <si>
    <t>Heroin Initiates with Any Past Year Rx Use</t>
  </si>
  <si>
    <t>Past year heroin initiate with no RX</t>
  </si>
  <si>
    <t>PY Heroin Initiate % with OUD</t>
  </si>
  <si>
    <t>PY Heroin Initiate % with Rx misuse</t>
  </si>
  <si>
    <t>PY Heroin Initiate % direct</t>
  </si>
  <si>
    <t>Total with HUD</t>
  </si>
  <si>
    <t>Total Past Year Rx Misusers</t>
  </si>
  <si>
    <t>Lifetime but not past year misuse</t>
  </si>
  <si>
    <t>Total Past Year Rx Initiates</t>
  </si>
  <si>
    <t>Total Rx Initiates with Lifetime Heroin</t>
  </si>
  <si>
    <t xml:space="preserve">Total Initiates with Past Year Heroin </t>
  </si>
  <si>
    <t>Total with past year OUD</t>
  </si>
  <si>
    <t>Past year initiates of Rx where source = 1 or 2 doctors</t>
  </si>
  <si>
    <t xml:space="preserve">Past year initiates of Rx where source = diverted (not equal to 1 or 2 doctors) </t>
  </si>
  <si>
    <t>Percentage of initiates with source populated = medical</t>
  </si>
  <si>
    <t>Percentage of total initiates where source = medical</t>
  </si>
  <si>
    <t>2002-2003</t>
  </si>
  <si>
    <t>Source question not asked</t>
  </si>
  <si>
    <t>2003-2004</t>
  </si>
  <si>
    <t>2004-2005</t>
  </si>
  <si>
    <t>2005-2006</t>
  </si>
  <si>
    <t>2006-2007</t>
  </si>
  <si>
    <t>Suppressed</t>
  </si>
  <si>
    <t>2007-2008</t>
  </si>
  <si>
    <t>2008-2009</t>
  </si>
  <si>
    <t>2009-2010</t>
  </si>
  <si>
    <t>2010-2011</t>
  </si>
  <si>
    <t>2011-2012</t>
  </si>
  <si>
    <t>2012-2013</t>
  </si>
  <si>
    <t>2013-2014</t>
  </si>
  <si>
    <t>2014-2015</t>
  </si>
  <si>
    <t>2015-2016</t>
  </si>
  <si>
    <t>2016-2017</t>
  </si>
  <si>
    <t>2017-2018</t>
  </si>
  <si>
    <t>2018-2019</t>
  </si>
  <si>
    <t>2020 PDAS as of 1/3/2022</t>
  </si>
  <si>
    <t>Variables Used</t>
  </si>
  <si>
    <t>IRHERRC</t>
  </si>
  <si>
    <t>RECHER2</t>
  </si>
  <si>
    <t>RECHER2, IRPNRNMREC or IRANLRC</t>
  </si>
  <si>
    <t>RECHER2, UDPYPNR</t>
  </si>
  <si>
    <t>ABODHER</t>
  </si>
  <si>
    <t>IRPNRNMREC, IRANLRC</t>
  </si>
  <si>
    <t>RECANL_B, RECPNRNM</t>
  </si>
  <si>
    <t>RECANL_B, RECPNRNM, IRHERRC</t>
  </si>
  <si>
    <t>ABODANL, UDPYPNR</t>
  </si>
  <si>
    <t>SRCPNRNM</t>
  </si>
  <si>
    <t>Raw Heroin Initiation</t>
  </si>
  <si>
    <t>Calendar year</t>
  </si>
  <si>
    <t>RDAS Variables Used</t>
  </si>
  <si>
    <t>Initiating heroin with Rx OUD</t>
  </si>
  <si>
    <t>Initiating NDHU with Rx misuse</t>
  </si>
  <si>
    <t>heroin initiates with any past year rx misuse/oud - Initiating heroin with Rx OUD</t>
  </si>
  <si>
    <t>Initiating NDHU no Rx</t>
  </si>
  <si>
    <t>heroin initiates with any past year rx misuse/oud</t>
  </si>
  <si>
    <t>Total Past Year Heroin Initiates RDAS</t>
  </si>
  <si>
    <t>RECHER2 2nd year used</t>
  </si>
  <si>
    <t>SAMHSA Reports</t>
  </si>
  <si>
    <t>Average of every 2-year initiation reported by SAMHSA</t>
  </si>
  <si>
    <t>summed heroin initiation</t>
  </si>
  <si>
    <t>Sum of above rows = SAMHSA report totals</t>
  </si>
  <si>
    <t xml:space="preserve">RDAS only reports heroin initiation by Rx misuse status for every 2-year period, with no overlap until 2016. However, they also report total heroin initiation, which can be compared to total heroin initiation in the SAMHSA annual reports. It appears that the total heroin initiation in RDAS is roughly the average of the two years. Thus, the different types of initiation can be roughly averaged across the years. We took the proportion of each type of initiation out of RDAS' 2-year numbers and applied those to the total reported in SAMHSA's annual reports to arrive at annual estimats of heroin initiation by subcategory. </t>
  </si>
  <si>
    <t>Estimates of initiates pre-2002</t>
  </si>
  <si>
    <t>pain relievers https://www.painphysicianjournal.com/current/pdf?article=MTcwNA%3D%3D&amp;journal=68</t>
  </si>
  <si>
    <t>heroin https://www.painphysicianjournal.com/current/pdf?article=MTcwNA%3D%3D&amp;journal=68 and https://web.archive.org/web/20040917212014/http://www.oas.samhsa.gov/NHSDA/98SummHtml/NHSDA98Summ-09.htm#P577_46064</t>
  </si>
  <si>
    <t>pain relievers retrospective? https://web.archive.org/web/20040811040057/http://www.oas.samhsa.gov/nhsda/2k2nsduh/Results/apph.htm#tabh.39</t>
  </si>
  <si>
    <t>***Note on total Population Calculations</t>
  </si>
  <si>
    <t>Numbers from 1999 - 2019 are taken directly from NSDUH and represent the 12+ non institutionalized and non-military population of the United States. For future years out to 2030, the projected population is estimated with a simple linear trend function applied to the 1999-2019 data</t>
  </si>
  <si>
    <t>Rx OUD with PY heroin</t>
  </si>
  <si>
    <t xml:space="preserve">Percent of HUD that are: </t>
  </si>
  <si>
    <t xml:space="preserve">Percent of NDHU that are: </t>
  </si>
  <si>
    <t>NonuserHUD</t>
  </si>
  <si>
    <t>AbuseHUD</t>
  </si>
  <si>
    <t>OUDHUD</t>
  </si>
  <si>
    <t>Use Rx</t>
  </si>
  <si>
    <t>AbuseAbuse</t>
  </si>
  <si>
    <t>NonuserAbuse</t>
  </si>
  <si>
    <t>Rx misuse no PY heroin</t>
  </si>
  <si>
    <t>Nondisordered heroin use</t>
  </si>
  <si>
    <t>Fraction of NDHU who use Rx NSDUH</t>
  </si>
  <si>
    <t>Fraction of HUD who use Rx NSDUH</t>
  </si>
  <si>
    <t>NSDUH Total Pop</t>
  </si>
  <si>
    <t>HUD NSDUH - Prior to 2002</t>
  </si>
  <si>
    <t xml:space="preserve"> https://www.painphysicianjournal.com/current/pdf?article=MTcwNA%3D%3D&amp;journal=68 https://web.archive.org/web/20041014120811/http://www.oas.samhsa.gov/NHSDA/98MF.pdf</t>
  </si>
  <si>
    <t>Pain reliever misuse (with or without H use)</t>
  </si>
  <si>
    <t xml:space="preserve"> https://web.archive.org/web/20040910214422/http://www.oas.samhsa.gov/NHSDA/1997Main/nhsda1997mfWeb-15.htm#Table2.2</t>
  </si>
  <si>
    <t>past year heroin</t>
  </si>
  <si>
    <t>OUD NSDUH - Prior to 2002</t>
  </si>
  <si>
    <t>Table of HerTYPE by RxTYPE</t>
  </si>
  <si>
    <t>Controlling for YEAR=2002</t>
  </si>
  <si>
    <t>Rx OUD with no PY heroin</t>
  </si>
  <si>
    <t>HerTYPE</t>
  </si>
  <si>
    <t>RxTYPE</t>
  </si>
  <si>
    <t>Frequency</t>
  </si>
  <si>
    <t>Weighted</t>
  </si>
  <si>
    <t>Std Err of</t>
  </si>
  <si>
    <t>Percent</t>
  </si>
  <si>
    <t>RX TYPE</t>
  </si>
  <si>
    <t>Wgt Freq</t>
  </si>
  <si>
    <t>Nonuser</t>
  </si>
  <si>
    <t>Past Year Abuse</t>
  </si>
  <si>
    <t>Past Year Rx Use Disorder</t>
  </si>
  <si>
    <t>OUD with no PY heroin</t>
  </si>
  <si>
    <t>OUD with PY heroin</t>
  </si>
  <si>
    <t>HUD</t>
  </si>
  <si>
    <t>Rx abuse</t>
  </si>
  <si>
    <t>Heroin abuse</t>
  </si>
  <si>
    <t>Abuse</t>
  </si>
  <si>
    <t>Heroin Type</t>
  </si>
  <si>
    <t>Frac of NDHU w Rx Misuse</t>
  </si>
  <si>
    <t>OUD</t>
  </si>
  <si>
    <t>Past Year Heroin Use Disorder</t>
  </si>
  <si>
    <t>OUD+H</t>
  </si>
  <si>
    <t>OUD No H</t>
  </si>
  <si>
    <t>NDHU</t>
  </si>
  <si>
    <t>Rx Abuse</t>
  </si>
  <si>
    <t>Controlling for YEAR=2003</t>
  </si>
  <si>
    <t>NDHU + Rx</t>
  </si>
  <si>
    <t>NDHU Only</t>
  </si>
  <si>
    <t xml:space="preserve">HUD + Rx </t>
  </si>
  <si>
    <t>HUD Only</t>
  </si>
  <si>
    <t>Fraction of NDHU with Rx use</t>
  </si>
  <si>
    <t>Fraction of HUD with Rx use</t>
  </si>
  <si>
    <t>Controlling for YEAR=2004</t>
  </si>
  <si>
    <t>NSDUH numbers (12+) Actual</t>
  </si>
  <si>
    <t>Fraction of total projected pop that’s NSDUH in 2019</t>
  </si>
  <si>
    <t xml:space="preserve"> NSDUH/Projection 2019 </t>
  </si>
  <si>
    <t>2019 Fraction * Census projected pop</t>
  </si>
  <si>
    <t>Controlling for YEAR=2005</t>
  </si>
  <si>
    <t xml:space="preserve">*Numbers from 1999 - 2019 are taken directly from NSDUH and represent the 12+ non institutionalized and non-military population of the United States. For future years out to 2030, the projected population is estimated with a simple linear trend function applied to the 1999-2019 data </t>
  </si>
  <si>
    <t>Controlling for YEAR=2006</t>
  </si>
  <si>
    <t>Controlling for YEAR=2007</t>
  </si>
  <si>
    <t>Controlling for YEAR=2008</t>
  </si>
  <si>
    <t>Controlling for YEAR=2009</t>
  </si>
  <si>
    <t>Controlling for YEAR=2010</t>
  </si>
  <si>
    <t>Controlling for YEAR=2011</t>
  </si>
  <si>
    <t>Controlling for YEAR=2012</t>
  </si>
  <si>
    <t>Controlling for YEAR=2013</t>
  </si>
  <si>
    <t>Controlling for YEAR=2014</t>
  </si>
  <si>
    <t>Controlling for YEAR=2015</t>
  </si>
  <si>
    <t>Controlling for YEAR=2016</t>
  </si>
  <si>
    <t>Controlling for YEAR=2017</t>
  </si>
  <si>
    <t>Controlling for YEAR=2018</t>
  </si>
  <si>
    <t>Controlling for YEAR=2019</t>
  </si>
  <si>
    <t>Weighted
Frequency</t>
  </si>
  <si>
    <t>Std Err of
Wgt Freq</t>
  </si>
  <si>
    <t>Std Err of
Percent</t>
  </si>
  <si>
    <t> </t>
  </si>
  <si>
    <t>Initiating NDHU no Rx NSDUH RDAS RAND</t>
  </si>
  <si>
    <t>Rx misuse with PY Heroin</t>
  </si>
  <si>
    <t>NDHU without PY Rx</t>
  </si>
  <si>
    <t xml:space="preserve">This sheet contains the calculations and data transformations used to arrive at the RAND adjusted heroin use estimates. </t>
  </si>
  <si>
    <t>2019 RAND report estimates of chronic heroin users (in millions)</t>
  </si>
  <si>
    <t>NSDUH: average 10-15 days of use in past month</t>
  </si>
  <si>
    <t>NSDUH data (in millions)</t>
  </si>
  <si>
    <t>NSDUH: average somewhere between 31 (rx + NDHU) and 52 (NDHU only) days of use in past year, or 2-5 days per month</t>
  </si>
  <si>
    <t>NSDUH: avg 17 days of H use in past year but given transience of this group (often quickly moving onto HUD) it's unlikely these 17 days are evenly spread across the prior 12 months</t>
  </si>
  <si>
    <t>Rx OUD with H</t>
  </si>
  <si>
    <t>Total Rx OUD + H + NDHU</t>
  </si>
  <si>
    <t>average multiplier for  all heroin users based on ratio of all chronic heroin users to all heroin users</t>
  </si>
  <si>
    <t>Ratio of RAND estimates for all chronic heroin users to all heroin users</t>
  </si>
  <si>
    <t>Ratio of chronic heroin users to all heroin users applied to initiation</t>
  </si>
  <si>
    <t>Initiating NDHU with Rx misuse NSDUH RDAS RAND</t>
  </si>
  <si>
    <t xml:space="preserve">Ratio of chronic heroin users to all heroin users applied to stocks </t>
  </si>
  <si>
    <t>HUD revised with RAND</t>
  </si>
  <si>
    <t>NDHU revised with RAND</t>
  </si>
  <si>
    <t>Rx OUD+H revised with RAND</t>
  </si>
  <si>
    <t>In most years we assumed a logarithmic curve going forward based on recent years' trends showing a slowing of growth or decline. Growth in buprenorphine providers has been exponential in recent years, with 2020 showing especially large gains. However, the 2021 data available on SAMHSA's website show signs of slowing (indeed, 2020 might have been an anomalous year in terms of rapid growth). Thus, we still used a logarithmic function but based only on 2019-20 data. Another exception is methadone capacity, which is based on utilization, and has had a steady  linear growth since at least 1999. We therefore assumed continued linear growth. Fentanyl, Vivitrol, and naloxone kits are also starting to show signs of slowing growth, while prescription opioid-related declines are also slowing.</t>
  </si>
  <si>
    <t>slope</t>
  </si>
  <si>
    <t>intercept</t>
  </si>
  <si>
    <t>Number of years after 2019 including 2019</t>
  </si>
  <si>
    <t>Divided by 86.6% capacity utilization</t>
  </si>
  <si>
    <t>linear</t>
  </si>
  <si>
    <t>Number of years after 2017 including 2017</t>
  </si>
  <si>
    <t>Divided by 88% capacity utilization</t>
  </si>
  <si>
    <t>*IQVIA data show a drop in Viv units in 2020 which we attribute to COVID, so are not using it for projections.</t>
  </si>
  <si>
    <t>number of years after 2019 including 2019</t>
  </si>
  <si>
    <t>ADF % of prescribed MMEs</t>
  </si>
  <si>
    <t>years since 2019 including 2019</t>
  </si>
  <si>
    <t>Fentanyl penetration curve NFLIS NEW</t>
  </si>
  <si>
    <t>years since 2020 including 2020</t>
  </si>
  <si>
    <t>Monthly patients Opioids IQVIA TPT</t>
  </si>
  <si>
    <t>*IQVIA data show a drop in PIT (as of March 31) MMT receipt in 2020 which we attribute to COVID, so are not using it for projections.</t>
  </si>
  <si>
    <t>Patients with current month opioid Rx IQVIA</t>
  </si>
  <si>
    <t>Extrapolated values for 1999-2001</t>
  </si>
  <si>
    <t>years since 2015 including 2015</t>
  </si>
  <si>
    <t xml:space="preserve">We found that the 'NDHU' stock was consistently causing problems with calibration, e.g., rates of its inflows and outflows hitting bounds in calibration estimates, never able to adequately reproduce the rise in recent years. Moreover, expert advice had suggested that if frequency of use was high enough, we might not ocnsider that those are truly nondisordered/non-problematic heroin users. Thus, we assessed the fraction of NDHUs  who reported at least 52 day sof use in the past year (using PDAS, which means these exclude DSM-IV OUD and HUD, but not DSM-5). Ths averages out to weekly use at least, which is a common definition used in research to enroll 'regular' users, which is often indicative of the potential for health, social, and other problems. We moved this fraction of NDHUs to the HUD stock. Note that 1999 is only excluding those with DSM-IV dependence, as ICPSR's tool does not have a variable for abuse or dependence that year. </t>
  </si>
  <si>
    <t>fraction of NDHU with 52days+ use</t>
  </si>
  <si>
    <t>NDHU &lt;52 days</t>
  </si>
  <si>
    <t>2020 DSM-5</t>
  </si>
  <si>
    <t>fraction of NDHU with 52 days+ use, adjusting for DSM-5 using 2020 discrepancy</t>
  </si>
  <si>
    <t>HUD + NDHU 52+ days</t>
  </si>
  <si>
    <t>addition from PDAS</t>
  </si>
  <si>
    <t>ratio of DSM IV to 5 in 2020</t>
  </si>
  <si>
    <t>CENSUS PROJECTIONS FOR TOTAL POP https://www.census.gov/data-tools/demo/idb/#/country?COUNTRY_YEAR=2032&amp;COUNTRY_YR_ANIM=2032&amp;FIPS_SINGLE=US</t>
  </si>
  <si>
    <t>2019-2020 National Survey on Drug Use and Health: Guide to State Tables and Summary of Small Area Estimation Methodology (samhsa.gov)</t>
  </si>
  <si>
    <t xml:space="preserve">Patients receiving opioid prescription annual IQVIA </t>
  </si>
  <si>
    <t>Only includes Embeda prior to 2011**</t>
  </si>
  <si>
    <t>*1999-2001 come from  Pezalla 2017 (NPA), minus 2.6% as this is how much Pezalla's estimates exceeded FDA's in 2002 (193.89 billion)</t>
  </si>
  <si>
    <t>Here we calculate the fraction of all heroin or fentanyl reports that are fentanyl, its analogues, or any other synthetic opioid. Thus, we exclude from the total anything that would have originally been prescribed, because we are only attempting to represent the penetration of fentanyl into the heroin market, and not into, for instance, counterfeit pills. The estimates below are derived from NFLIS Table 1 from annual reports, used for each year back to 2007. https://www.nflis.deadiversion.usdoj.gov/DesktopModules/Statictables/NFLISPublicData_2019_Table1.pdf</t>
  </si>
  <si>
    <t>MMEs of abuse-deterrent formulation opioid analgesics dispensed from U.S. outpatient pharmacies, 2009-2020 annually.</t>
  </si>
  <si>
    <r>
      <t>These data come from IQVIA TPT ® and reflect the number of unique patients who have received buprenorphine for MOUD at any point in a given month. These are used as a calibration target for point-in-time</t>
    </r>
    <r>
      <rPr>
        <sz val="11"/>
        <rFont val="Calibri"/>
        <family val="2"/>
        <scheme val="minor"/>
      </rPr>
      <t xml:space="preserve"> data.  The data provided was </t>
    </r>
    <r>
      <rPr>
        <sz val="11"/>
        <color theme="1"/>
        <rFont val="Calibri"/>
        <family val="2"/>
        <scheme val="minor"/>
      </rPr>
      <t xml:space="preserve">on a monthly basis but the model time step </t>
    </r>
    <r>
      <rPr>
        <sz val="11"/>
        <rFont val="Calibri"/>
        <family val="2"/>
        <scheme val="minor"/>
      </rPr>
      <t>is .0625 years (approximately 20 days), therefore, we needed to estimate the current number of patients for every 20-day period, which is what this file does. The non-highlighted row 'tx monthly patients bup iqvia tpt' is the direct data from IQVIA TPT ®. The final row, bolded and highlighted in yellow, is the data used in the model. It starts at 2002.9375 to approximate the date of buprenorphine approval in the U.S. Only one '0' is needed prior to that for the model to read properly.</t>
    </r>
  </si>
  <si>
    <r>
      <t>These data come from IQVIA TPT ® and reflect the number of unique patients who have received an opioid prescription at any point in a given month. These are used as input to drive the mode</t>
    </r>
    <r>
      <rPr>
        <sz val="11"/>
        <rFont val="Calibri"/>
        <family val="2"/>
        <scheme val="minor"/>
      </rPr>
      <t xml:space="preserve">l and was also how we created </t>
    </r>
    <r>
      <rPr>
        <sz val="11"/>
        <color theme="1"/>
        <rFont val="Calibri"/>
        <family val="2"/>
        <scheme val="minor"/>
      </rPr>
      <t xml:space="preserve">the trend line used to extrapolate values for 1999-2001. Because those were on a monthly basis but the model time step .0625 years (approximately 20 days), we needed to estimate the current number of patients for every 20-day period, which is what this file does. The row 'monthly patients opioids iqvia tpt' is the direct data from </t>
    </r>
    <r>
      <rPr>
        <sz val="11"/>
        <rFont val="Calibri"/>
        <family val="2"/>
        <scheme val="minor"/>
      </rPr>
      <t>IQVIA TPT ®, plus</t>
    </r>
    <r>
      <rPr>
        <sz val="11"/>
        <color theme="1"/>
        <rFont val="Calibri"/>
        <family val="2"/>
        <scheme val="minor"/>
      </rPr>
      <t xml:space="preserve"> the 3 years of extrapolation. The final row, bolded and highlighted in yellow, is the data used in the model. </t>
    </r>
  </si>
  <si>
    <r>
      <rPr>
        <b/>
        <sz val="16"/>
        <rFont val="Calibri"/>
        <family val="2"/>
        <scheme val="minor"/>
      </rPr>
      <t xml:space="preserve">Estimates from FDA </t>
    </r>
    <r>
      <rPr>
        <b/>
        <sz val="16"/>
        <color theme="1"/>
        <rFont val="Calibri"/>
        <family val="2"/>
        <scheme val="minor"/>
      </rPr>
      <t>except where indicated and used directly in the model. No adjustments were necessary.</t>
    </r>
  </si>
  <si>
    <r>
      <t xml:space="preserve">This sheet contains overdose death data </t>
    </r>
    <r>
      <rPr>
        <b/>
        <sz val="16"/>
        <rFont val="Calibri"/>
        <family val="2"/>
        <scheme val="minor"/>
      </rPr>
      <t>downloaded from NBER and CDC NVSS websites. It has been separated into</t>
    </r>
    <r>
      <rPr>
        <b/>
        <sz val="16"/>
        <color theme="1"/>
        <rFont val="Calibri"/>
        <family val="2"/>
        <scheme val="minor"/>
      </rPr>
      <t xml:space="preserve"> mutually exclusive buckets based upon the decision rules listed below. 
</t>
    </r>
    <r>
      <rPr>
        <b/>
        <sz val="10"/>
        <color theme="1"/>
        <rFont val="Calibri"/>
        <family val="2"/>
        <scheme val="minor"/>
      </rPr>
      <t>NBER</t>
    </r>
    <r>
      <rPr>
        <sz val="10"/>
        <color theme="1"/>
        <rFont val="Calibri"/>
        <family val="2"/>
        <scheme val="minor"/>
      </rPr>
      <t xml:space="preserve">: http://data.nber.org/data/vital-statistics-mortality-data-multiple-cause-of-death.html
</t>
    </r>
    <r>
      <rPr>
        <b/>
        <sz val="10"/>
        <color theme="1"/>
        <rFont val="Calibri"/>
        <family val="2"/>
        <scheme val="minor"/>
      </rPr>
      <t>CDC NVSS:</t>
    </r>
    <r>
      <rPr>
        <sz val="10"/>
        <color theme="1"/>
        <rFont val="Calibri"/>
        <family val="2"/>
        <scheme val="minor"/>
      </rPr>
      <t xml:space="preserve"> https://www.cdc.gov/nchs/data_access/vitalstatsonline.htm</t>
    </r>
  </si>
  <si>
    <r>
      <t>Data source: IQVIA National Prescription Audit™, data years 2009-2020</t>
    </r>
    <r>
      <rPr>
        <sz val="8"/>
        <color theme="1"/>
        <rFont val="Calibri"/>
        <family val="2"/>
        <scheme val="minor"/>
      </rPr>
      <t>.</t>
    </r>
  </si>
  <si>
    <t>This sheet contains capacity estimates for Buprenorphine based upon a number of different studies that in some cases overlap years. The capacity estimates at the bottom of the sheet starting at line 69 are a combination of these studies to give an approximation of time series data between 2002-2019. 2020 data is from SAMHSA.</t>
  </si>
  <si>
    <t>Change in parameter coding for 2020</t>
  </si>
  <si>
    <t xml:space="preserve">with craving </t>
  </si>
  <si>
    <t>counts</t>
  </si>
  <si>
    <t>se</t>
  </si>
  <si>
    <t>Raw</t>
  </si>
  <si>
    <t>Nondisordered heroin Abuse (+RxMisuse)</t>
  </si>
  <si>
    <t>OUD + H</t>
  </si>
  <si>
    <t>OUD no H</t>
  </si>
  <si>
    <t>RxMisuse</t>
  </si>
  <si>
    <t>this is exact same as samhsa/pdas</t>
  </si>
  <si>
    <t>*Note last value cannot be interpolated with next data point so is linearly forecasted based on last two data points</t>
  </si>
  <si>
    <t>years since 2018 including 2018</t>
  </si>
  <si>
    <t>Average # of units between 07-10</t>
  </si>
  <si>
    <t>This sheet contains the total number of vivitrol units per IQVIA NSP. It is assumed that the vivitrol units between 2007-2010 are being used for the treatment of Alcohol Use Disorder, and that any growth following 2010 can be attributed to treatment of OUD. One ext. unit is one injection</t>
  </si>
  <si>
    <t>Prescriptions per person DATA</t>
  </si>
  <si>
    <t>Average days per prescription DATA</t>
  </si>
  <si>
    <t>Average MME per day DATA</t>
  </si>
  <si>
    <t>This sheet contains a number of estimates compiled from the restricted NSDUH data access tool called RDAS (found here: https://rdas.samhsa.gov/#/). Because ages, and survey dates are inaccessible in the public use files, it is not possible to accurately get at dates and years of initiation. This leads to slight inconsistencies as the RDAS numbers are rounded.  RDAS only reports rx initiation by source for every 2-year period, with no overlap until 2015. From RDAS, we calculate the average fraction of total past year initiates whose last source was either 1 or 2 doctors (i.e., a medical source). There is a clear trend break in 2015 which is why these have been separated into two different averages below. SAMHSA reports total initiates in their annual reports, therefore, we take the total in Row 2, multiply by the fraction in W31 for years 1999-2014 or multiply by the fraction in V31 for years 2015-onward to derive the total for Row 4 (i.e. Initiating misuse with their own Rx). The estimate of people who initiated with a diverted prescription opioid (Row 3) is derived by subtracting the total in Row 4 from Row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</si>
</sst>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quot;M&quot;"/>
    <numFmt numFmtId="166" formatCode="_(* #,##0_);_(* \(#,##0\);_(* &quot;-&quot;??_);_(@_)"/>
    <numFmt numFmtId="167" formatCode="_(* #,##0.0000_);_(* \(#,##0.0000\);_(* &quot;-&quot;??_);_(@_)"/>
    <numFmt numFmtId="168" formatCode="#,##0;\(#,##0\)"/>
    <numFmt numFmtId="169" formatCode="0.0000"/>
    <numFmt numFmtId="170" formatCode="#,##0.00000"/>
    <numFmt numFmtId="171" formatCode="0.0"/>
    <numFmt numFmtId="172" formatCode="_(* #,##0.000_);_(* \(#,##0.000\);_(* &quot;-&quot;??_);_(@_)"/>
    <numFmt numFmtId="173" formatCode="0.00000"/>
    <numFmt numFmtId="174" formatCode="#,##0.0000"/>
    <numFmt numFmtId="175" formatCode="_(* #,##0.000000_);_(* \(#,##0.000000\);_(* &quot;-&quot;??_);_(@_)"/>
  </numFmts>
  <fonts count="84"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000000"/>
      <name val="Calibri"/>
      <family val="2"/>
    </font>
    <font>
      <b/>
      <u/>
      <sz val="11"/>
      <color theme="1"/>
      <name val="Calibri"/>
      <family val="2"/>
      <scheme val="minor"/>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2"/>
      <color rgb="FFFF0000"/>
      <name val="Calibri"/>
      <family val="2"/>
      <scheme val="minor"/>
    </font>
    <font>
      <b/>
      <sz val="11"/>
      <color rgb="FFFF0000"/>
      <name val="Calibri"/>
      <family val="2"/>
      <scheme val="minor"/>
    </font>
    <font>
      <b/>
      <i/>
      <u/>
      <sz val="11"/>
      <color theme="1"/>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sz val="11"/>
      <color rgb="FF000000"/>
      <name val="Calibri"/>
      <family val="2"/>
      <charset val="1"/>
    </font>
    <font>
      <b/>
      <sz val="11"/>
      <color rgb="FF000000"/>
      <name val="Calibri"/>
      <family val="2"/>
      <charset val="1"/>
    </font>
    <font>
      <b/>
      <u/>
      <sz val="11"/>
      <color rgb="FF000000"/>
      <name val="Calibri"/>
      <family val="2"/>
    </font>
    <font>
      <sz val="12"/>
      <color rgb="FF000000"/>
      <name val="Calibri"/>
      <family val="2"/>
      <scheme val="minor"/>
    </font>
    <font>
      <b/>
      <sz val="12"/>
      <color rgb="FF000000"/>
      <name val="Calibri"/>
      <family val="2"/>
      <scheme val="minor"/>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b/>
      <sz val="18"/>
      <color theme="1"/>
      <name val="Calibri"/>
      <family val="2"/>
      <scheme val="minor"/>
    </font>
    <font>
      <sz val="8"/>
      <name val="Calibri"/>
      <family val="2"/>
      <scheme val="minor"/>
    </font>
    <font>
      <b/>
      <sz val="11"/>
      <color rgb="FF000000"/>
      <name val="Arial"/>
      <family val="2"/>
    </font>
    <font>
      <sz val="11"/>
      <color rgb="FF000000"/>
      <name val="Arial"/>
      <family val="2"/>
    </font>
    <font>
      <sz val="9"/>
      <color theme="1"/>
      <name val="Calibri"/>
      <family val="2"/>
      <scheme val="minor"/>
    </font>
    <font>
      <b/>
      <sz val="11"/>
      <color rgb="FF000000"/>
      <name val="Calibri"/>
      <family val="2"/>
      <scheme val="minor"/>
    </font>
    <font>
      <b/>
      <sz val="12"/>
      <color rgb="FF000000"/>
      <name val="Cambria"/>
      <family val="1"/>
    </font>
    <font>
      <b/>
      <sz val="11"/>
      <color rgb="FF000000"/>
      <name val="Cambria"/>
      <family val="1"/>
    </font>
    <font>
      <sz val="11"/>
      <color rgb="FF000000"/>
      <name val="Cambria"/>
      <family val="1"/>
    </font>
    <font>
      <sz val="12"/>
      <color theme="9"/>
      <name val="Calibri"/>
      <family val="2"/>
      <scheme val="minor"/>
    </font>
    <font>
      <sz val="12"/>
      <color rgb="FF70AD47"/>
      <name val="Calibri"/>
      <family val="2"/>
      <scheme val="minor"/>
    </font>
    <font>
      <sz val="11"/>
      <color rgb="FFFF0000"/>
      <name val="Calibri"/>
      <family val="2"/>
      <scheme val="minor"/>
    </font>
    <font>
      <b/>
      <i/>
      <u/>
      <sz val="12"/>
      <color theme="1"/>
      <name val="Calibri"/>
      <family val="2"/>
      <scheme val="minor"/>
    </font>
    <font>
      <b/>
      <i/>
      <u/>
      <sz val="14"/>
      <color rgb="FFFF0000"/>
      <name val="Calibri"/>
      <family val="2"/>
      <scheme val="minor"/>
    </font>
    <font>
      <b/>
      <i/>
      <sz val="11"/>
      <color rgb="FFFF0000"/>
      <name val="Calibri"/>
      <family val="2"/>
      <scheme val="minor"/>
    </font>
    <font>
      <b/>
      <i/>
      <sz val="16"/>
      <color theme="9"/>
      <name val="Calibri"/>
      <family val="2"/>
      <scheme val="minor"/>
    </font>
    <font>
      <b/>
      <i/>
      <u/>
      <sz val="20"/>
      <color rgb="FFFF0000"/>
      <name val="Calibri"/>
      <family val="2"/>
      <scheme val="minor"/>
    </font>
    <font>
      <sz val="11"/>
      <color rgb="FF101010"/>
      <name val="Calibri"/>
      <family val="2"/>
      <scheme val="minor"/>
    </font>
    <font>
      <b/>
      <sz val="16"/>
      <color rgb="FFFF0000"/>
      <name val="Calibri"/>
      <family val="2"/>
      <scheme val="minor"/>
    </font>
    <font>
      <b/>
      <u/>
      <sz val="11"/>
      <color rgb="FFFF0000"/>
      <name val="Calibri"/>
      <family val="2"/>
      <scheme val="minor"/>
    </font>
    <font>
      <b/>
      <sz val="14"/>
      <color theme="1"/>
      <name val="Calibri"/>
      <family val="2"/>
      <scheme val="minor"/>
    </font>
    <font>
      <b/>
      <sz val="11"/>
      <color rgb="FF2F2F2F"/>
      <name val="Calibri"/>
      <family val="2"/>
      <scheme val="minor"/>
    </font>
    <font>
      <sz val="11"/>
      <color rgb="FF2F2F2F"/>
      <name val="Calibri"/>
      <family val="2"/>
      <scheme val="minor"/>
    </font>
    <font>
      <b/>
      <sz val="10"/>
      <color rgb="FF000000"/>
      <name val="Calibri"/>
      <family val="2"/>
      <scheme val="minor"/>
    </font>
    <font>
      <sz val="10"/>
      <color rgb="FF000000"/>
      <name val="Calibri"/>
      <family val="2"/>
      <scheme val="minor"/>
    </font>
    <font>
      <b/>
      <sz val="11"/>
      <color rgb="FF666666"/>
      <name val="Lucida Sans"/>
      <family val="2"/>
    </font>
    <font>
      <sz val="12"/>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i/>
      <sz val="12"/>
      <name val="Calibri"/>
      <family val="2"/>
      <scheme val="minor"/>
    </font>
    <font>
      <sz val="8"/>
      <color theme="1"/>
      <name val="Calibri"/>
      <family val="2"/>
      <scheme val="minor"/>
    </font>
    <font>
      <b/>
      <sz val="10"/>
      <color theme="1"/>
      <name val="Calibri"/>
      <family val="2"/>
      <scheme val="minor"/>
    </font>
    <font>
      <sz val="10"/>
      <color theme="1"/>
      <name val="Calibri"/>
      <family val="2"/>
      <scheme val="minor"/>
    </font>
    <font>
      <b/>
      <sz val="16"/>
      <name val="Calibri"/>
      <family val="2"/>
      <scheme val="minor"/>
    </font>
  </fonts>
  <fills count="53">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
      <patternFill patternType="solid">
        <fgColor rgb="FFD9D9D9"/>
        <bgColor indexed="64"/>
      </patternFill>
    </fill>
    <fill>
      <patternFill patternType="solid">
        <fgColor theme="9" tint="0.59999389629810485"/>
        <bgColor theme="0" tint="-0.14999847407452621"/>
      </patternFill>
    </fill>
    <fill>
      <patternFill patternType="solid">
        <fgColor theme="9" tint="0.39997558519241921"/>
        <bgColor indexed="64"/>
      </patternFill>
    </fill>
    <fill>
      <patternFill patternType="solid">
        <fgColor theme="4"/>
        <bgColor indexed="64"/>
      </patternFill>
    </fill>
    <fill>
      <patternFill patternType="solid">
        <fgColor rgb="FFC6E0B4"/>
        <bgColor rgb="FF000000"/>
      </patternFill>
    </fill>
    <fill>
      <patternFill patternType="solid">
        <fgColor rgb="FFD9D9D9"/>
        <bgColor rgb="FFD9D9D9"/>
      </patternFill>
    </fill>
    <fill>
      <patternFill patternType="solid">
        <fgColor theme="1" tint="0.14999847407452621"/>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theme="1"/>
      </top>
      <bottom style="thin">
        <color theme="1"/>
      </bottom>
      <diagonal/>
    </border>
    <border>
      <left/>
      <right/>
      <top style="thin">
        <color theme="1"/>
      </top>
      <bottom style="thin">
        <color indexed="64"/>
      </bottom>
      <diagonal/>
    </border>
    <border>
      <left style="thin">
        <color rgb="FFC1C1C1"/>
      </left>
      <right/>
      <top style="thin">
        <color rgb="FFC1C1C1"/>
      </top>
      <bottom/>
      <diagonal/>
    </border>
    <border>
      <left/>
      <right/>
      <top style="thin">
        <color rgb="FFC1C1C1"/>
      </top>
      <bottom/>
      <diagonal/>
    </border>
    <border>
      <left style="thin">
        <color rgb="FFC1C1C1"/>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thin">
        <color theme="1"/>
      </top>
      <bottom/>
      <diagonal/>
    </border>
    <border>
      <left/>
      <right/>
      <top style="thin">
        <color indexed="64"/>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xf numFmtId="0" fontId="2" fillId="0" borderId="0"/>
    <xf numFmtId="43" fontId="2" fillId="0" borderId="0" applyFont="0" applyFill="0" applyBorder="0" applyAlignment="0" applyProtection="0"/>
    <xf numFmtId="0" fontId="11" fillId="0" borderId="0"/>
    <xf numFmtId="43" fontId="2" fillId="0" borderId="0" applyFont="0" applyFill="0" applyBorder="0" applyAlignment="0" applyProtection="0"/>
    <xf numFmtId="9" fontId="2" fillId="0" borderId="0" applyFont="0" applyFill="0" applyBorder="0" applyAlignment="0" applyProtection="0"/>
    <xf numFmtId="0" fontId="17" fillId="0" borderId="0" applyNumberFormat="0" applyFill="0" applyBorder="0" applyAlignment="0" applyProtection="0"/>
    <xf numFmtId="0" fontId="11" fillId="0" borderId="0"/>
    <xf numFmtId="43" fontId="11" fillId="0" borderId="0" applyFont="0" applyFill="0" applyBorder="0" applyAlignment="0" applyProtection="0"/>
    <xf numFmtId="0" fontId="26" fillId="0" borderId="0" applyNumberFormat="0" applyFill="0" applyBorder="0" applyAlignment="0" applyProtection="0"/>
    <xf numFmtId="0" fontId="4" fillId="0" borderId="0"/>
    <xf numFmtId="0" fontId="65" fillId="0" borderId="0" applyNumberFormat="0" applyFill="0" applyBorder="0" applyAlignment="0" applyProtection="0"/>
    <xf numFmtId="0" fontId="66" fillId="0" borderId="48" applyNumberFormat="0" applyFill="0" applyAlignment="0" applyProtection="0"/>
    <xf numFmtId="0" fontId="67" fillId="0" borderId="49" applyNumberFormat="0" applyFill="0" applyAlignment="0" applyProtection="0"/>
    <xf numFmtId="0" fontId="68" fillId="0" borderId="50" applyNumberFormat="0" applyFill="0" applyAlignment="0" applyProtection="0"/>
    <xf numFmtId="0" fontId="68" fillId="0" borderId="0" applyNumberFormat="0" applyFill="0" applyBorder="0" applyAlignment="0" applyProtection="0"/>
    <xf numFmtId="0" fontId="69" fillId="22" borderId="0" applyNumberFormat="0" applyBorder="0" applyAlignment="0" applyProtection="0"/>
    <xf numFmtId="0" fontId="70" fillId="23" borderId="0" applyNumberFormat="0" applyBorder="0" applyAlignment="0" applyProtection="0"/>
    <xf numFmtId="0" fontId="71" fillId="25" borderId="51" applyNumberFormat="0" applyAlignment="0" applyProtection="0"/>
    <xf numFmtId="0" fontId="72" fillId="26" borderId="52" applyNumberFormat="0" applyAlignment="0" applyProtection="0"/>
    <xf numFmtId="0" fontId="73" fillId="26" borderId="51" applyNumberFormat="0" applyAlignment="0" applyProtection="0"/>
    <xf numFmtId="0" fontId="74" fillId="0" borderId="53" applyNumberFormat="0" applyFill="0" applyAlignment="0" applyProtection="0"/>
    <xf numFmtId="0" fontId="75" fillId="27" borderId="54" applyNumberFormat="0" applyAlignment="0" applyProtection="0"/>
    <xf numFmtId="0" fontId="49" fillId="0" borderId="0" applyNumberFormat="0" applyFill="0" applyBorder="0" applyAlignment="0" applyProtection="0"/>
    <xf numFmtId="0" fontId="2" fillId="28" borderId="55" applyNumberFormat="0" applyFont="0" applyAlignment="0" applyProtection="0"/>
    <xf numFmtId="0" fontId="76" fillId="0" borderId="0" applyNumberFormat="0" applyFill="0" applyBorder="0" applyAlignment="0" applyProtection="0"/>
    <xf numFmtId="0" fontId="3" fillId="0" borderId="56" applyNumberFormat="0" applyFill="0" applyAlignment="0" applyProtection="0"/>
    <xf numFmtId="0" fontId="7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77"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77"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77"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77" fillId="45"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77" fillId="49"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78" fillId="24"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xf numFmtId="0" fontId="78" fillId="24"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cellStyleXfs>
  <cellXfs count="609">
    <xf numFmtId="0" fontId="0" fillId="0" borderId="0" xfId="0"/>
    <xf numFmtId="0" fontId="3" fillId="0" borderId="0" xfId="0" applyFont="1"/>
    <xf numFmtId="0" fontId="2" fillId="0" borderId="0" xfId="1"/>
    <xf numFmtId="164" fontId="2" fillId="0" borderId="0" xfId="1" applyNumberFormat="1"/>
    <xf numFmtId="0" fontId="3" fillId="0" borderId="1" xfId="1" applyFont="1" applyBorder="1"/>
    <xf numFmtId="0" fontId="3" fillId="0" borderId="3" xfId="1" applyFont="1" applyBorder="1" applyAlignment="1">
      <alignment vertical="center" wrapText="1"/>
    </xf>
    <xf numFmtId="0" fontId="3" fillId="0" borderId="4" xfId="1" applyFont="1" applyBorder="1" applyAlignment="1">
      <alignment horizontal="right" vertical="center" wrapText="1"/>
    </xf>
    <xf numFmtId="0" fontId="2" fillId="0" borderId="0" xfId="1" applyAlignment="1">
      <alignment vertical="center" wrapText="1"/>
    </xf>
    <xf numFmtId="49" fontId="3" fillId="0" borderId="0" xfId="1" applyNumberFormat="1" applyFont="1" applyAlignment="1">
      <alignment horizontal="right" vertical="center" wrapText="1"/>
    </xf>
    <xf numFmtId="1" fontId="2" fillId="0" borderId="3" xfId="1" applyNumberFormat="1" applyBorder="1" applyAlignment="1">
      <alignment horizontal="right" vertical="center"/>
    </xf>
    <xf numFmtId="1" fontId="2" fillId="0" borderId="2" xfId="1" applyNumberFormat="1" applyBorder="1" applyAlignment="1">
      <alignment horizontal="right" vertical="center"/>
    </xf>
    <xf numFmtId="1" fontId="2" fillId="0" borderId="0" xfId="1" applyNumberFormat="1"/>
    <xf numFmtId="0" fontId="15" fillId="0" borderId="0" xfId="1" applyFont="1"/>
    <xf numFmtId="49" fontId="8" fillId="0" borderId="0" xfId="1" applyNumberFormat="1" applyFont="1"/>
    <xf numFmtId="49" fontId="2" fillId="0" borderId="0" xfId="1" applyNumberFormat="1"/>
    <xf numFmtId="0" fontId="6" fillId="0" borderId="0" xfId="1" applyFont="1"/>
    <xf numFmtId="0" fontId="2" fillId="0" borderId="0" xfId="1" applyAlignment="1">
      <alignment vertical="center"/>
    </xf>
    <xf numFmtId="0" fontId="0" fillId="0" borderId="0" xfId="0" applyAlignment="1">
      <alignment vertical="center"/>
    </xf>
    <xf numFmtId="3" fontId="0" fillId="0" borderId="0" xfId="0" applyNumberFormat="1"/>
    <xf numFmtId="3" fontId="12" fillId="0" borderId="0" xfId="0" applyNumberFormat="1" applyFont="1"/>
    <xf numFmtId="1" fontId="0" fillId="0" borderId="0" xfId="0" applyNumberFormat="1"/>
    <xf numFmtId="0" fontId="19" fillId="0" borderId="0" xfId="0" applyFont="1"/>
    <xf numFmtId="0" fontId="17" fillId="0" borderId="0" xfId="6"/>
    <xf numFmtId="169" fontId="0" fillId="0" borderId="0" xfId="0" applyNumberFormat="1"/>
    <xf numFmtId="0" fontId="0" fillId="6" borderId="0" xfId="0" applyFill="1"/>
    <xf numFmtId="0" fontId="0" fillId="7" borderId="0" xfId="0" applyFill="1"/>
    <xf numFmtId="170" fontId="0" fillId="0" borderId="0" xfId="0" applyNumberFormat="1"/>
    <xf numFmtId="0" fontId="0" fillId="8" borderId="0" xfId="0" applyFill="1"/>
    <xf numFmtId="0" fontId="12" fillId="8" borderId="0" xfId="0" applyFont="1" applyFill="1"/>
    <xf numFmtId="0" fontId="12" fillId="0" borderId="0" xfId="0" applyFont="1"/>
    <xf numFmtId="10" fontId="17" fillId="0" borderId="0" xfId="6" applyNumberFormat="1"/>
    <xf numFmtId="9" fontId="0" fillId="0" borderId="0" xfId="5" applyFont="1"/>
    <xf numFmtId="1" fontId="19" fillId="8" borderId="0" xfId="0" applyNumberFormat="1" applyFont="1" applyFill="1"/>
    <xf numFmtId="0" fontId="19" fillId="8" borderId="0" xfId="0" applyFont="1" applyFill="1"/>
    <xf numFmtId="1" fontId="0" fillId="8" borderId="0" xfId="0" applyNumberFormat="1" applyFill="1"/>
    <xf numFmtId="1" fontId="12" fillId="8" borderId="0" xfId="0" applyNumberFormat="1" applyFont="1" applyFill="1"/>
    <xf numFmtId="0" fontId="0" fillId="0" borderId="0" xfId="0" applyAlignment="1">
      <alignment vertical="center" wrapText="1"/>
    </xf>
    <xf numFmtId="0" fontId="3" fillId="0" borderId="0" xfId="0" applyFont="1" applyAlignment="1">
      <alignment vertical="center" wrapText="1"/>
    </xf>
    <xf numFmtId="0" fontId="0" fillId="0" borderId="0" xfId="0" applyAlignment="1">
      <alignment vertical="top"/>
    </xf>
    <xf numFmtId="0" fontId="3" fillId="0" borderId="19" xfId="0" applyFont="1" applyBorder="1" applyAlignment="1">
      <alignment horizontal="right" vertical="center"/>
    </xf>
    <xf numFmtId="0" fontId="3" fillId="0" borderId="22" xfId="0" applyFont="1" applyBorder="1" applyAlignment="1">
      <alignment horizontal="right" vertical="center"/>
    </xf>
    <xf numFmtId="0" fontId="3" fillId="0" borderId="20" xfId="0" applyFont="1" applyBorder="1" applyAlignment="1">
      <alignment horizontal="right" vertical="center"/>
    </xf>
    <xf numFmtId="0" fontId="3" fillId="0" borderId="22" xfId="0" applyFont="1" applyBorder="1" applyAlignment="1">
      <alignment vertical="center"/>
    </xf>
    <xf numFmtId="0" fontId="3" fillId="0" borderId="20" xfId="0" applyFont="1" applyBorder="1" applyAlignment="1">
      <alignment vertical="center"/>
    </xf>
    <xf numFmtId="0" fontId="3" fillId="0" borderId="0" xfId="0" applyFont="1" applyAlignment="1">
      <alignment horizontal="right" vertical="center"/>
    </xf>
    <xf numFmtId="0" fontId="3" fillId="0" borderId="0" xfId="0" applyFont="1" applyAlignment="1">
      <alignment vertical="center"/>
    </xf>
    <xf numFmtId="0" fontId="11" fillId="0" borderId="0" xfId="7"/>
    <xf numFmtId="0" fontId="24" fillId="0" borderId="0" xfId="7" applyFont="1"/>
    <xf numFmtId="0" fontId="0" fillId="0" borderId="0" xfId="0" applyAlignment="1">
      <alignment wrapText="1"/>
    </xf>
    <xf numFmtId="0" fontId="27" fillId="12" borderId="0" xfId="0" applyFont="1" applyFill="1" applyAlignment="1">
      <alignment wrapText="1"/>
    </xf>
    <xf numFmtId="0" fontId="29" fillId="0" borderId="0" xfId="7" applyFont="1"/>
    <xf numFmtId="0" fontId="8" fillId="8" borderId="0" xfId="0" applyFont="1" applyFill="1"/>
    <xf numFmtId="0" fontId="3" fillId="8" borderId="1" xfId="0" applyFont="1" applyFill="1" applyBorder="1"/>
    <xf numFmtId="9" fontId="3" fillId="0" borderId="0" xfId="5" applyFont="1"/>
    <xf numFmtId="0" fontId="3" fillId="0" borderId="1" xfId="0" applyFont="1" applyBorder="1"/>
    <xf numFmtId="0" fontId="3" fillId="0" borderId="0" xfId="0" applyFont="1" applyAlignment="1">
      <alignment horizontal="right"/>
    </xf>
    <xf numFmtId="0" fontId="0" fillId="6" borderId="32" xfId="0" applyFill="1" applyBorder="1"/>
    <xf numFmtId="0" fontId="30" fillId="0" borderId="0" xfId="0" applyFont="1"/>
    <xf numFmtId="0" fontId="10" fillId="0" borderId="0" xfId="7" applyFont="1" applyAlignment="1">
      <alignment horizontal="center" vertical="center" wrapText="1"/>
    </xf>
    <xf numFmtId="0" fontId="0" fillId="0" borderId="1" xfId="0" applyBorder="1"/>
    <xf numFmtId="0" fontId="31" fillId="0" borderId="1" xfId="0" applyFont="1" applyBorder="1"/>
    <xf numFmtId="0" fontId="0" fillId="8" borderId="1" xfId="0" applyFill="1" applyBorder="1"/>
    <xf numFmtId="0" fontId="0" fillId="8" borderId="7" xfId="0" applyFill="1" applyBorder="1"/>
    <xf numFmtId="0" fontId="0" fillId="8" borderId="10" xfId="0" applyFill="1" applyBorder="1"/>
    <xf numFmtId="0" fontId="0" fillId="8" borderId="9" xfId="0" applyFill="1" applyBorder="1"/>
    <xf numFmtId="0" fontId="12" fillId="8" borderId="1" xfId="0" applyFont="1" applyFill="1" applyBorder="1"/>
    <xf numFmtId="0" fontId="0" fillId="8" borderId="8" xfId="0" applyFill="1" applyBorder="1"/>
    <xf numFmtId="0" fontId="3" fillId="8" borderId="11" xfId="0" applyFont="1" applyFill="1" applyBorder="1"/>
    <xf numFmtId="0" fontId="0" fillId="8" borderId="11" xfId="0" applyFill="1" applyBorder="1"/>
    <xf numFmtId="0" fontId="12" fillId="8" borderId="11" xfId="0" applyFont="1" applyFill="1" applyBorder="1"/>
    <xf numFmtId="0" fontId="0" fillId="13" borderId="0" xfId="0" applyFill="1"/>
    <xf numFmtId="0" fontId="0" fillId="7" borderId="14" xfId="0" applyFill="1" applyBorder="1"/>
    <xf numFmtId="0" fontId="0" fillId="7" borderId="15" xfId="0" applyFill="1" applyBorder="1"/>
    <xf numFmtId="0" fontId="6" fillId="0" borderId="0" xfId="0" applyFont="1"/>
    <xf numFmtId="0" fontId="0" fillId="7" borderId="33" xfId="0" applyFill="1" applyBorder="1" applyAlignment="1">
      <alignment wrapText="1"/>
    </xf>
    <xf numFmtId="0" fontId="0" fillId="7" borderId="13" xfId="0" applyFill="1" applyBorder="1"/>
    <xf numFmtId="0" fontId="16" fillId="0" borderId="0" xfId="1" applyFont="1"/>
    <xf numFmtId="0" fontId="0" fillId="7" borderId="0" xfId="0" applyFill="1" applyAlignment="1">
      <alignment wrapText="1"/>
    </xf>
    <xf numFmtId="166" fontId="20" fillId="7" borderId="0" xfId="4" applyNumberFormat="1" applyFont="1" applyFill="1" applyAlignment="1">
      <alignment horizontal="left"/>
    </xf>
    <xf numFmtId="166" fontId="8" fillId="0" borderId="3" xfId="4" applyNumberFormat="1" applyFont="1" applyFill="1" applyBorder="1" applyAlignment="1">
      <alignment horizontal="right"/>
    </xf>
    <xf numFmtId="166" fontId="8" fillId="0" borderId="2" xfId="4" applyNumberFormat="1" applyFont="1" applyFill="1" applyBorder="1" applyAlignment="1">
      <alignment horizontal="right"/>
    </xf>
    <xf numFmtId="166" fontId="8" fillId="0" borderId="0" xfId="4" applyNumberFormat="1" applyFont="1" applyFill="1" applyAlignment="1">
      <alignment horizontal="right"/>
    </xf>
    <xf numFmtId="166" fontId="8" fillId="0" borderId="10" xfId="4" applyNumberFormat="1" applyFont="1" applyFill="1" applyBorder="1" applyAlignment="1">
      <alignment horizontal="right"/>
    </xf>
    <xf numFmtId="166" fontId="8" fillId="0" borderId="2" xfId="4" applyNumberFormat="1" applyFont="1" applyFill="1" applyBorder="1"/>
    <xf numFmtId="166" fontId="8" fillId="0" borderId="0" xfId="4" applyNumberFormat="1" applyFont="1" applyFill="1"/>
    <xf numFmtId="166" fontId="0" fillId="0" borderId="0" xfId="4" applyNumberFormat="1" applyFont="1"/>
    <xf numFmtId="166" fontId="8" fillId="0" borderId="34" xfId="4" applyNumberFormat="1" applyFont="1" applyFill="1" applyBorder="1" applyAlignment="1">
      <alignment horizontal="right"/>
    </xf>
    <xf numFmtId="0" fontId="3" fillId="0" borderId="3" xfId="0" applyFont="1" applyBorder="1" applyAlignment="1">
      <alignment horizontal="right" vertical="center"/>
    </xf>
    <xf numFmtId="1" fontId="0" fillId="14" borderId="0" xfId="0" applyNumberFormat="1" applyFill="1"/>
    <xf numFmtId="0" fontId="27" fillId="0" borderId="0" xfId="0" applyFont="1"/>
    <xf numFmtId="0" fontId="0" fillId="0" borderId="27" xfId="0" applyBorder="1" applyAlignment="1">
      <alignment vertical="top"/>
    </xf>
    <xf numFmtId="0" fontId="0" fillId="0" borderId="0" xfId="0" applyAlignment="1">
      <alignment horizontal="left"/>
    </xf>
    <xf numFmtId="1" fontId="0" fillId="0" borderId="0" xfId="0" applyNumberFormat="1" applyAlignment="1">
      <alignment horizontal="right"/>
    </xf>
    <xf numFmtId="0" fontId="21" fillId="0" borderId="0" xfId="0" applyFont="1" applyAlignment="1">
      <alignment vertical="top"/>
    </xf>
    <xf numFmtId="166" fontId="19" fillId="0" borderId="0" xfId="4" applyNumberFormat="1" applyFont="1" applyBorder="1" applyAlignment="1">
      <alignment vertical="top"/>
    </xf>
    <xf numFmtId="166" fontId="18" fillId="0" borderId="0" xfId="4" applyNumberFormat="1" applyFont="1" applyBorder="1" applyAlignment="1">
      <alignment vertical="top"/>
    </xf>
    <xf numFmtId="166" fontId="36" fillId="0" borderId="0" xfId="4" applyNumberFormat="1" applyFont="1" applyFill="1" applyBorder="1" applyAlignment="1">
      <alignment vertical="top"/>
    </xf>
    <xf numFmtId="166" fontId="18" fillId="0" borderId="20" xfId="4" applyNumberFormat="1" applyFont="1" applyBorder="1" applyAlignment="1">
      <alignment vertical="top"/>
    </xf>
    <xf numFmtId="0" fontId="0" fillId="0" borderId="20" xfId="0" applyBorder="1" applyAlignment="1">
      <alignment horizontal="right" vertical="top"/>
    </xf>
    <xf numFmtId="0" fontId="0" fillId="0" borderId="20" xfId="0" applyBorder="1" applyAlignment="1">
      <alignment vertical="top"/>
    </xf>
    <xf numFmtId="0" fontId="17" fillId="0" borderId="0" xfId="6" applyAlignment="1">
      <alignment vertical="top"/>
    </xf>
    <xf numFmtId="0" fontId="3" fillId="0" borderId="0" xfId="0" applyFont="1" applyAlignment="1">
      <alignment vertical="top"/>
    </xf>
    <xf numFmtId="0" fontId="27" fillId="0" borderId="0" xfId="0" applyFont="1" applyAlignment="1">
      <alignment wrapText="1"/>
    </xf>
    <xf numFmtId="0" fontId="27" fillId="0" borderId="31" xfId="0" applyFont="1" applyBorder="1" applyAlignment="1">
      <alignment wrapText="1"/>
    </xf>
    <xf numFmtId="166" fontId="0" fillId="0" borderId="0" xfId="4" applyNumberFormat="1" applyFont="1" applyFill="1"/>
    <xf numFmtId="166" fontId="0" fillId="0" borderId="0" xfId="0" applyNumberFormat="1"/>
    <xf numFmtId="0" fontId="41" fillId="0" borderId="0" xfId="0" applyFont="1" applyAlignment="1">
      <alignment vertical="top" wrapText="1"/>
    </xf>
    <xf numFmtId="166" fontId="0" fillId="5" borderId="27" xfId="4" applyNumberFormat="1" applyFont="1" applyFill="1" applyBorder="1"/>
    <xf numFmtId="166" fontId="0" fillId="10" borderId="29" xfId="4" applyNumberFormat="1" applyFont="1" applyFill="1" applyBorder="1"/>
    <xf numFmtId="166" fontId="0" fillId="11" borderId="30" xfId="4" applyNumberFormat="1" applyFont="1" applyFill="1" applyBorder="1"/>
    <xf numFmtId="166" fontId="0" fillId="11" borderId="0" xfId="0" applyNumberFormat="1" applyFill="1"/>
    <xf numFmtId="166" fontId="0" fillId="3" borderId="0" xfId="0" applyNumberFormat="1" applyFill="1"/>
    <xf numFmtId="166" fontId="0" fillId="9" borderId="0" xfId="0" applyNumberFormat="1" applyFill="1"/>
    <xf numFmtId="166" fontId="0" fillId="10" borderId="0" xfId="0" applyNumberFormat="1" applyFill="1"/>
    <xf numFmtId="166" fontId="0" fillId="4" borderId="0" xfId="0" applyNumberFormat="1" applyFill="1"/>
    <xf numFmtId="166" fontId="0" fillId="5" borderId="0" xfId="0" applyNumberFormat="1" applyFill="1"/>
    <xf numFmtId="166" fontId="0" fillId="4" borderId="14" xfId="4" applyNumberFormat="1" applyFont="1" applyFill="1" applyBorder="1"/>
    <xf numFmtId="166" fontId="0" fillId="4" borderId="0" xfId="4" applyNumberFormat="1" applyFont="1" applyFill="1" applyBorder="1"/>
    <xf numFmtId="166" fontId="0" fillId="3" borderId="10" xfId="4" applyNumberFormat="1" applyFont="1" applyFill="1" applyBorder="1"/>
    <xf numFmtId="166" fontId="0" fillId="9" borderId="15" xfId="4" applyNumberFormat="1" applyFont="1" applyFill="1" applyBorder="1"/>
    <xf numFmtId="166" fontId="0" fillId="9" borderId="20" xfId="4" applyNumberFormat="1" applyFont="1" applyFill="1" applyBorder="1"/>
    <xf numFmtId="166" fontId="0" fillId="9" borderId="21" xfId="4" applyNumberFormat="1" applyFont="1" applyFill="1" applyBorder="1"/>
    <xf numFmtId="0" fontId="11" fillId="0" borderId="0" xfId="0" applyFont="1" applyAlignment="1">
      <alignment horizontal="center" vertical="center"/>
    </xf>
    <xf numFmtId="166" fontId="0" fillId="0" borderId="27" xfId="4" applyNumberFormat="1" applyFont="1" applyFill="1" applyBorder="1"/>
    <xf numFmtId="166" fontId="0" fillId="0" borderId="29" xfId="4" applyNumberFormat="1" applyFont="1" applyFill="1" applyBorder="1"/>
    <xf numFmtId="166" fontId="0" fillId="0" borderId="30" xfId="4" applyNumberFormat="1" applyFont="1" applyFill="1" applyBorder="1"/>
    <xf numFmtId="166" fontId="0" fillId="0" borderId="14" xfId="4" applyNumberFormat="1" applyFont="1" applyFill="1" applyBorder="1"/>
    <xf numFmtId="166" fontId="0" fillId="0" borderId="0" xfId="4" applyNumberFormat="1" applyFont="1" applyFill="1" applyBorder="1"/>
    <xf numFmtId="166" fontId="0" fillId="0" borderId="10" xfId="4" applyNumberFormat="1" applyFont="1" applyFill="1" applyBorder="1"/>
    <xf numFmtId="166" fontId="0" fillId="0" borderId="15" xfId="4" applyNumberFormat="1" applyFont="1" applyFill="1" applyBorder="1"/>
    <xf numFmtId="166" fontId="0" fillId="0" borderId="20" xfId="4" applyNumberFormat="1" applyFont="1" applyFill="1" applyBorder="1"/>
    <xf numFmtId="166" fontId="0" fillId="0" borderId="21" xfId="4" applyNumberFormat="1" applyFont="1" applyFill="1" applyBorder="1"/>
    <xf numFmtId="166" fontId="0" fillId="6" borderId="0" xfId="4" applyNumberFormat="1" applyFont="1" applyFill="1"/>
    <xf numFmtId="166" fontId="0" fillId="6" borderId="18" xfId="4" applyNumberFormat="1" applyFont="1" applyFill="1" applyBorder="1"/>
    <xf numFmtId="0" fontId="3" fillId="6" borderId="25" xfId="0" applyFont="1" applyFill="1" applyBorder="1"/>
    <xf numFmtId="0" fontId="3" fillId="6" borderId="26" xfId="0" applyFont="1" applyFill="1" applyBorder="1"/>
    <xf numFmtId="0" fontId="21" fillId="0" borderId="0" xfId="0" applyFont="1" applyAlignment="1">
      <alignment horizontal="left" vertical="center"/>
    </xf>
    <xf numFmtId="0" fontId="43" fillId="0" borderId="1" xfId="0" applyFont="1" applyBorder="1"/>
    <xf numFmtId="0" fontId="12" fillId="0" borderId="0" xfId="0" applyFont="1" applyAlignment="1">
      <alignment wrapText="1"/>
    </xf>
    <xf numFmtId="0" fontId="12" fillId="16" borderId="0" xfId="0" applyFont="1" applyFill="1"/>
    <xf numFmtId="0" fontId="3" fillId="0" borderId="36" xfId="0" applyFont="1" applyBorder="1"/>
    <xf numFmtId="0" fontId="3" fillId="0" borderId="37" xfId="0" applyFont="1" applyBorder="1"/>
    <xf numFmtId="1" fontId="2"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32" fillId="0" borderId="14" xfId="0" applyFont="1" applyBorder="1" applyAlignment="1">
      <alignment vertical="top"/>
    </xf>
    <xf numFmtId="166" fontId="33" fillId="0" borderId="0" xfId="4" applyNumberFormat="1" applyFont="1" applyBorder="1" applyAlignment="1">
      <alignment vertical="top"/>
    </xf>
    <xf numFmtId="0" fontId="8" fillId="0" borderId="14" xfId="0" applyFont="1" applyBorder="1" applyAlignment="1">
      <alignment vertical="top"/>
    </xf>
    <xf numFmtId="0" fontId="0" fillId="0" borderId="0" xfId="0" applyAlignment="1">
      <alignment horizontal="right" vertical="top"/>
    </xf>
    <xf numFmtId="0" fontId="8" fillId="0" borderId="15"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3" fillId="0" borderId="39" xfId="0" applyFont="1" applyBorder="1"/>
    <xf numFmtId="0" fontId="44" fillId="0" borderId="0" xfId="0" applyFont="1" applyAlignment="1">
      <alignment wrapText="1"/>
    </xf>
    <xf numFmtId="0" fontId="45" fillId="17" borderId="0" xfId="0" applyFont="1" applyFill="1" applyAlignment="1">
      <alignment vertical="top" wrapText="1"/>
    </xf>
    <xf numFmtId="0" fontId="46" fillId="17" borderId="0" xfId="0" applyFont="1" applyFill="1" applyAlignment="1">
      <alignment wrapText="1"/>
    </xf>
    <xf numFmtId="0" fontId="46" fillId="17" borderId="0" xfId="0" applyFont="1" applyFill="1"/>
    <xf numFmtId="0" fontId="45" fillId="0" borderId="0" xfId="0" applyFont="1" applyAlignment="1">
      <alignment vertical="top" wrapText="1"/>
    </xf>
    <xf numFmtId="0" fontId="0" fillId="7" borderId="6" xfId="0" applyFill="1" applyBorder="1"/>
    <xf numFmtId="0" fontId="3" fillId="0" borderId="40" xfId="0" applyFont="1" applyBorder="1"/>
    <xf numFmtId="0" fontId="0" fillId="7" borderId="10" xfId="0" applyFill="1" applyBorder="1"/>
    <xf numFmtId="0" fontId="25" fillId="0" borderId="0" xfId="0" applyFont="1"/>
    <xf numFmtId="0" fontId="22" fillId="0" borderId="0" xfId="7" applyFont="1" applyAlignment="1">
      <alignment horizontal="right" wrapText="1"/>
    </xf>
    <xf numFmtId="168" fontId="23" fillId="0" borderId="0" xfId="7" applyNumberFormat="1" applyFont="1" applyAlignment="1">
      <alignment horizontal="right" vertical="center"/>
    </xf>
    <xf numFmtId="0" fontId="23" fillId="0" borderId="0" xfId="7" applyFont="1" applyAlignment="1">
      <alignment horizontal="right" wrapText="1"/>
    </xf>
    <xf numFmtId="166" fontId="23" fillId="0" borderId="0" xfId="4" applyNumberFormat="1" applyFont="1" applyFill="1" applyBorder="1" applyAlignment="1">
      <alignment horizontal="right" wrapText="1"/>
    </xf>
    <xf numFmtId="0" fontId="0" fillId="18" borderId="0" xfId="0" applyFill="1"/>
    <xf numFmtId="3" fontId="0" fillId="18" borderId="0" xfId="0" applyNumberFormat="1" applyFill="1"/>
    <xf numFmtId="3" fontId="0" fillId="19" borderId="0" xfId="0" applyNumberFormat="1" applyFill="1"/>
    <xf numFmtId="170" fontId="0" fillId="18" borderId="0" xfId="0" applyNumberFormat="1" applyFill="1"/>
    <xf numFmtId="0" fontId="0" fillId="19" borderId="0" xfId="0" applyFill="1"/>
    <xf numFmtId="1" fontId="12" fillId="0" borderId="0" xfId="0" applyNumberFormat="1" applyFont="1"/>
    <xf numFmtId="0" fontId="3" fillId="8" borderId="0" xfId="0" applyFont="1" applyFill="1"/>
    <xf numFmtId="1" fontId="0" fillId="8" borderId="0" xfId="0" applyNumberFormat="1" applyFill="1" applyAlignment="1">
      <alignment horizontal="right"/>
    </xf>
    <xf numFmtId="0" fontId="0" fillId="0" borderId="31" xfId="0" applyBorder="1"/>
    <xf numFmtId="3" fontId="0" fillId="0" borderId="36" xfId="0" applyNumberFormat="1" applyBorder="1"/>
    <xf numFmtId="169" fontId="0" fillId="0" borderId="37" xfId="0" applyNumberFormat="1" applyBorder="1"/>
    <xf numFmtId="0" fontId="0" fillId="0" borderId="36" xfId="0" applyBorder="1"/>
    <xf numFmtId="169" fontId="0" fillId="0" borderId="38" xfId="0" applyNumberFormat="1" applyBorder="1"/>
    <xf numFmtId="0" fontId="0" fillId="0" borderId="38" xfId="0" applyBorder="1"/>
    <xf numFmtId="3" fontId="0" fillId="0" borderId="31" xfId="0" applyNumberFormat="1" applyBorder="1"/>
    <xf numFmtId="3" fontId="0" fillId="0" borderId="38" xfId="0" applyNumberFormat="1" applyBorder="1"/>
    <xf numFmtId="169" fontId="0" fillId="0" borderId="31" xfId="0" applyNumberFormat="1" applyBorder="1"/>
    <xf numFmtId="0" fontId="3" fillId="0" borderId="31" xfId="0" applyFont="1" applyBorder="1"/>
    <xf numFmtId="0" fontId="3" fillId="0" borderId="0" xfId="1" applyFont="1" applyAlignment="1">
      <alignment wrapText="1"/>
    </xf>
    <xf numFmtId="166" fontId="8" fillId="0" borderId="0" xfId="4" applyNumberFormat="1" applyFont="1" applyFill="1" applyBorder="1" applyAlignment="1">
      <alignment vertical="top"/>
    </xf>
    <xf numFmtId="166" fontId="8" fillId="0" borderId="0" xfId="0" applyNumberFormat="1" applyFont="1" applyAlignment="1">
      <alignment vertical="top"/>
    </xf>
    <xf numFmtId="1" fontId="47" fillId="0" borderId="0" xfId="1" applyNumberFormat="1" applyFont="1"/>
    <xf numFmtId="0" fontId="44" fillId="0" borderId="0" xfId="0" applyFont="1"/>
    <xf numFmtId="0" fontId="0" fillId="0" borderId="0" xfId="0" applyAlignment="1">
      <alignment vertical="top" wrapText="1"/>
    </xf>
    <xf numFmtId="0" fontId="0" fillId="8" borderId="17" xfId="0" applyFill="1" applyBorder="1"/>
    <xf numFmtId="0" fontId="3" fillId="8" borderId="7" xfId="0" applyFont="1" applyFill="1" applyBorder="1"/>
    <xf numFmtId="0" fontId="8" fillId="8" borderId="16" xfId="0" applyFont="1" applyFill="1" applyBorder="1"/>
    <xf numFmtId="0" fontId="3" fillId="8" borderId="9" xfId="0" applyFont="1" applyFill="1" applyBorder="1"/>
    <xf numFmtId="166" fontId="8" fillId="0" borderId="0" xfId="4" applyNumberFormat="1" applyFont="1" applyFill="1" applyBorder="1" applyAlignment="1">
      <alignment horizontal="right"/>
    </xf>
    <xf numFmtId="166" fontId="8" fillId="0" borderId="3" xfId="4" applyNumberFormat="1" applyFont="1" applyFill="1" applyBorder="1" applyAlignment="1">
      <alignment horizontal="left"/>
    </xf>
    <xf numFmtId="166" fontId="20" fillId="0" borderId="0" xfId="4" applyNumberFormat="1" applyFont="1" applyFill="1" applyAlignment="1">
      <alignment horizontal="left"/>
    </xf>
    <xf numFmtId="166" fontId="17" fillId="0" borderId="0" xfId="6" applyNumberFormat="1" applyFill="1" applyBorder="1" applyAlignment="1">
      <alignment horizontal="left"/>
    </xf>
    <xf numFmtId="0" fontId="3" fillId="0" borderId="0" xfId="0" applyFont="1" applyAlignment="1">
      <alignment horizontal="left" vertical="center"/>
    </xf>
    <xf numFmtId="0" fontId="8" fillId="8" borderId="16" xfId="0" applyFont="1" applyFill="1" applyBorder="1" applyAlignment="1">
      <alignment wrapText="1"/>
    </xf>
    <xf numFmtId="0" fontId="0" fillId="8" borderId="35" xfId="0" applyFill="1" applyBorder="1"/>
    <xf numFmtId="0" fontId="0" fillId="8" borderId="5" xfId="0" applyFill="1" applyBorder="1"/>
    <xf numFmtId="0" fontId="0" fillId="8" borderId="16" xfId="0" applyFill="1" applyBorder="1"/>
    <xf numFmtId="3" fontId="8" fillId="0" borderId="0" xfId="4" applyNumberFormat="1" applyFont="1" applyFill="1" applyBorder="1" applyAlignment="1">
      <alignment vertical="top"/>
    </xf>
    <xf numFmtId="3" fontId="3" fillId="0" borderId="0" xfId="0" applyNumberFormat="1" applyFont="1"/>
    <xf numFmtId="3" fontId="19" fillId="0" borderId="0" xfId="0" applyNumberFormat="1" applyFont="1" applyAlignment="1">
      <alignment vertical="top"/>
    </xf>
    <xf numFmtId="3" fontId="32" fillId="0" borderId="0" xfId="4" applyNumberFormat="1" applyFont="1" applyFill="1" applyBorder="1" applyAlignment="1">
      <alignment vertical="top"/>
    </xf>
    <xf numFmtId="3" fontId="8" fillId="0" borderId="0" xfId="0" applyNumberFormat="1" applyFont="1" applyAlignment="1">
      <alignment vertical="top"/>
    </xf>
    <xf numFmtId="0" fontId="5" fillId="0" borderId="0" xfId="0" applyFont="1" applyAlignment="1">
      <alignment wrapText="1"/>
    </xf>
    <xf numFmtId="3" fontId="20" fillId="0" borderId="0" xfId="4" applyNumberFormat="1" applyFont="1" applyFill="1" applyBorder="1" applyAlignment="1">
      <alignment horizontal="center" vertical="center" wrapText="1"/>
    </xf>
    <xf numFmtId="0" fontId="0" fillId="2" borderId="0" xfId="0" applyFill="1"/>
    <xf numFmtId="0" fontId="46" fillId="0" borderId="0" xfId="0" applyFont="1" applyAlignment="1">
      <alignment wrapText="1"/>
    </xf>
    <xf numFmtId="0" fontId="46" fillId="0" borderId="0" xfId="0" applyFont="1"/>
    <xf numFmtId="0" fontId="0" fillId="8" borderId="0" xfId="0" applyFill="1" applyAlignment="1">
      <alignment wrapText="1"/>
    </xf>
    <xf numFmtId="0" fontId="3" fillId="0" borderId="0" xfId="0" applyFont="1" applyAlignment="1">
      <alignment wrapText="1"/>
    </xf>
    <xf numFmtId="0" fontId="3" fillId="0" borderId="43" xfId="0" applyFont="1" applyBorder="1" applyAlignment="1">
      <alignment wrapText="1"/>
    </xf>
    <xf numFmtId="166" fontId="0" fillId="0" borderId="27" xfId="4" applyNumberFormat="1" applyFont="1" applyBorder="1"/>
    <xf numFmtId="166" fontId="0" fillId="0" borderId="29" xfId="4" applyNumberFormat="1" applyFont="1" applyBorder="1"/>
    <xf numFmtId="166" fontId="0" fillId="0" borderId="30" xfId="4" applyNumberFormat="1" applyFont="1" applyBorder="1"/>
    <xf numFmtId="166" fontId="0" fillId="0" borderId="14" xfId="4" applyNumberFormat="1" applyFont="1" applyBorder="1"/>
    <xf numFmtId="166" fontId="0" fillId="0" borderId="10" xfId="4" applyNumberFormat="1" applyFont="1" applyBorder="1"/>
    <xf numFmtId="166" fontId="0" fillId="0" borderId="15" xfId="4" applyNumberFormat="1" applyFont="1" applyBorder="1"/>
    <xf numFmtId="166" fontId="0" fillId="0" borderId="20" xfId="4" applyNumberFormat="1" applyFont="1" applyBorder="1"/>
    <xf numFmtId="166" fontId="0" fillId="0" borderId="21" xfId="4" applyNumberFormat="1" applyFont="1" applyBorder="1"/>
    <xf numFmtId="1" fontId="2" fillId="0" borderId="10" xfId="1" applyNumberFormat="1" applyBorder="1" applyAlignment="1">
      <alignment horizontal="right" vertical="center"/>
    </xf>
    <xf numFmtId="0" fontId="2" fillId="0" borderId="3" xfId="1" applyBorder="1"/>
    <xf numFmtId="0" fontId="3" fillId="0" borderId="16" xfId="0" applyFont="1" applyBorder="1"/>
    <xf numFmtId="0" fontId="3" fillId="0" borderId="35" xfId="0" applyFont="1" applyBorder="1"/>
    <xf numFmtId="3" fontId="0" fillId="0" borderId="3" xfId="0" applyNumberFormat="1" applyBorder="1"/>
    <xf numFmtId="0" fontId="0" fillId="0" borderId="3" xfId="0" applyBorder="1"/>
    <xf numFmtId="0" fontId="0" fillId="0" borderId="11" xfId="0" applyBorder="1"/>
    <xf numFmtId="1" fontId="0" fillId="0" borderId="0" xfId="1" applyNumberFormat="1" applyFont="1"/>
    <xf numFmtId="0" fontId="0" fillId="0" borderId="0" xfId="1" applyFont="1"/>
    <xf numFmtId="166" fontId="0" fillId="6" borderId="0" xfId="0" applyNumberFormat="1" applyFill="1"/>
    <xf numFmtId="0" fontId="0" fillId="0" borderId="0" xfId="0" applyAlignment="1">
      <alignment horizontal="center" vertical="center" wrapText="1"/>
    </xf>
    <xf numFmtId="0" fontId="41" fillId="0" borderId="0" xfId="0" applyFont="1" applyAlignment="1">
      <alignment wrapText="1"/>
    </xf>
    <xf numFmtId="11" fontId="41" fillId="0" borderId="0" xfId="0" applyNumberFormat="1" applyFont="1" applyAlignment="1">
      <alignment wrapText="1"/>
    </xf>
    <xf numFmtId="0" fontId="4" fillId="0" borderId="0" xfId="0" applyFont="1"/>
    <xf numFmtId="2" fontId="0" fillId="0" borderId="0" xfId="0" applyNumberFormat="1"/>
    <xf numFmtId="43" fontId="0" fillId="0" borderId="0" xfId="0" applyNumberFormat="1"/>
    <xf numFmtId="2" fontId="46" fillId="0" borderId="0" xfId="0" applyNumberFormat="1" applyFont="1" applyAlignment="1">
      <alignment wrapText="1"/>
    </xf>
    <xf numFmtId="2" fontId="46" fillId="17" borderId="0" xfId="0" applyNumberFormat="1" applyFont="1" applyFill="1" applyAlignment="1">
      <alignment wrapText="1"/>
    </xf>
    <xf numFmtId="2" fontId="46" fillId="0" borderId="0" xfId="0" applyNumberFormat="1" applyFont="1"/>
    <xf numFmtId="1" fontId="46" fillId="17" borderId="0" xfId="0" applyNumberFormat="1" applyFont="1" applyFill="1" applyAlignment="1">
      <alignment wrapText="1"/>
    </xf>
    <xf numFmtId="169" fontId="0" fillId="0" borderId="10" xfId="0" applyNumberFormat="1" applyBorder="1"/>
    <xf numFmtId="166" fontId="0" fillId="0" borderId="0" xfId="0" applyNumberFormat="1" applyAlignment="1">
      <alignment vertical="top"/>
    </xf>
    <xf numFmtId="0" fontId="49" fillId="0" borderId="0" xfId="0" applyFont="1"/>
    <xf numFmtId="0" fontId="33" fillId="0" borderId="0" xfId="0" applyFont="1"/>
    <xf numFmtId="0" fontId="33" fillId="0" borderId="0" xfId="1" applyFont="1" applyAlignment="1">
      <alignment horizontal="center"/>
    </xf>
    <xf numFmtId="166" fontId="33" fillId="0" borderId="0" xfId="4" applyNumberFormat="1" applyFont="1"/>
    <xf numFmtId="0" fontId="33" fillId="0" borderId="0" xfId="1" applyFont="1"/>
    <xf numFmtId="1" fontId="49" fillId="0" borderId="0" xfId="0" applyNumberFormat="1" applyFont="1"/>
    <xf numFmtId="0" fontId="0" fillId="0" borderId="29" xfId="0" applyBorder="1"/>
    <xf numFmtId="1" fontId="51" fillId="4" borderId="18" xfId="0" applyNumberFormat="1" applyFont="1" applyFill="1" applyBorder="1"/>
    <xf numFmtId="0" fontId="0" fillId="0" borderId="20" xfId="0" applyBorder="1"/>
    <xf numFmtId="1" fontId="51" fillId="4" borderId="20" xfId="0" applyNumberFormat="1" applyFont="1" applyFill="1" applyBorder="1"/>
    <xf numFmtId="169" fontId="51" fillId="4" borderId="18" xfId="0" applyNumberFormat="1" applyFont="1" applyFill="1" applyBorder="1"/>
    <xf numFmtId="0" fontId="0" fillId="0" borderId="27" xfId="0" applyBorder="1" applyAlignment="1">
      <alignment wrapText="1"/>
    </xf>
    <xf numFmtId="0" fontId="0" fillId="0" borderId="14" xfId="0" applyBorder="1" applyAlignment="1">
      <alignment wrapText="1"/>
    </xf>
    <xf numFmtId="0" fontId="0" fillId="0" borderId="15" xfId="0" applyBorder="1" applyAlignment="1">
      <alignment wrapText="1"/>
    </xf>
    <xf numFmtId="0" fontId="21" fillId="20" borderId="29" xfId="0" applyFont="1" applyFill="1" applyBorder="1"/>
    <xf numFmtId="0" fontId="21" fillId="20" borderId="18" xfId="0" applyFont="1" applyFill="1" applyBorder="1"/>
    <xf numFmtId="0" fontId="21" fillId="20" borderId="29" xfId="0" applyFont="1" applyFill="1" applyBorder="1" applyAlignment="1">
      <alignment horizontal="right"/>
    </xf>
    <xf numFmtId="0" fontId="0" fillId="20" borderId="18" xfId="0" applyFill="1" applyBorder="1"/>
    <xf numFmtId="0" fontId="0" fillId="20" borderId="20" xfId="0" applyFill="1" applyBorder="1"/>
    <xf numFmtId="0" fontId="0" fillId="20" borderId="23" xfId="0" applyFill="1" applyBorder="1"/>
    <xf numFmtId="1" fontId="52" fillId="20" borderId="18" xfId="0" applyNumberFormat="1" applyFont="1" applyFill="1" applyBorder="1"/>
    <xf numFmtId="0" fontId="0" fillId="20" borderId="20" xfId="0" applyFill="1" applyBorder="1" applyAlignment="1">
      <alignment wrapText="1"/>
    </xf>
    <xf numFmtId="0" fontId="0" fillId="20" borderId="18" xfId="0" applyFill="1" applyBorder="1" applyAlignment="1">
      <alignment vertical="top"/>
    </xf>
    <xf numFmtId="0" fontId="21" fillId="20" borderId="20" xfId="0" applyFont="1" applyFill="1" applyBorder="1"/>
    <xf numFmtId="0" fontId="21" fillId="20" borderId="23" xfId="0" applyFont="1" applyFill="1" applyBorder="1"/>
    <xf numFmtId="3" fontId="0" fillId="7" borderId="36" xfId="0" applyNumberFormat="1" applyFill="1" applyBorder="1"/>
    <xf numFmtId="169" fontId="0" fillId="7" borderId="37" xfId="0" applyNumberFormat="1" applyFill="1" applyBorder="1"/>
    <xf numFmtId="3" fontId="0" fillId="7" borderId="0" xfId="0" applyNumberFormat="1" applyFill="1"/>
    <xf numFmtId="169" fontId="0" fillId="7" borderId="0" xfId="0" applyNumberFormat="1" applyFill="1"/>
    <xf numFmtId="3" fontId="0" fillId="7" borderId="3" xfId="0" applyNumberFormat="1" applyFill="1" applyBorder="1"/>
    <xf numFmtId="169" fontId="0" fillId="7" borderId="10" xfId="0" applyNumberFormat="1" applyFill="1" applyBorder="1"/>
    <xf numFmtId="0" fontId="3" fillId="7" borderId="0" xfId="0" applyFont="1" applyFill="1"/>
    <xf numFmtId="174" fontId="0" fillId="7" borderId="0" xfId="0" applyNumberFormat="1" applyFill="1"/>
    <xf numFmtId="0" fontId="48" fillId="0" borderId="0" xfId="1" applyFont="1" applyAlignment="1">
      <alignment wrapText="1"/>
    </xf>
    <xf numFmtId="0" fontId="30" fillId="0" borderId="0" xfId="0" applyFont="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0" fillId="0" borderId="2" xfId="0" applyBorder="1" applyAlignment="1">
      <alignment horizontal="right" vertical="center" wrapText="1"/>
    </xf>
    <xf numFmtId="1" fontId="2" fillId="7" borderId="3" xfId="1" applyNumberFormat="1" applyFill="1" applyBorder="1" applyAlignment="1">
      <alignment horizontal="right" vertical="center"/>
    </xf>
    <xf numFmtId="1" fontId="2" fillId="15" borderId="2" xfId="1" applyNumberFormat="1" applyFill="1" applyBorder="1" applyAlignment="1">
      <alignment horizontal="right" vertical="center"/>
    </xf>
    <xf numFmtId="1" fontId="2" fillId="7" borderId="2" xfId="1" applyNumberFormat="1" applyFill="1" applyBorder="1" applyAlignment="1">
      <alignment horizontal="right" vertical="center"/>
    </xf>
    <xf numFmtId="1" fontId="2" fillId="15" borderId="3" xfId="1" applyNumberFormat="1" applyFill="1" applyBorder="1" applyAlignment="1">
      <alignment horizontal="right" vertical="center"/>
    </xf>
    <xf numFmtId="1" fontId="2" fillId="9" borderId="2" xfId="1" applyNumberFormat="1" applyFill="1" applyBorder="1" applyAlignment="1">
      <alignment horizontal="right" vertical="center"/>
    </xf>
    <xf numFmtId="1" fontId="2" fillId="9" borderId="3" xfId="1" applyNumberFormat="1" applyFill="1" applyBorder="1" applyAlignment="1">
      <alignment horizontal="right" vertical="center"/>
    </xf>
    <xf numFmtId="0" fontId="3" fillId="0" borderId="8" xfId="1" applyFont="1" applyBorder="1" applyAlignment="1">
      <alignment horizontal="right" vertical="center" wrapText="1"/>
    </xf>
    <xf numFmtId="49" fontId="3" fillId="0" borderId="12" xfId="1" applyNumberFormat="1" applyFont="1" applyBorder="1" applyAlignment="1">
      <alignment horizontal="right" vertical="center" wrapText="1"/>
    </xf>
    <xf numFmtId="49" fontId="3" fillId="0" borderId="8" xfId="1" applyNumberFormat="1" applyFont="1" applyBorder="1" applyAlignment="1">
      <alignment horizontal="right" vertical="center" wrapText="1"/>
    </xf>
    <xf numFmtId="0" fontId="0" fillId="0" borderId="35" xfId="0" applyBorder="1" applyAlignment="1">
      <alignment horizontal="right" vertical="center" wrapText="1"/>
    </xf>
    <xf numFmtId="0" fontId="0" fillId="0" borderId="10" xfId="0" applyBorder="1" applyAlignment="1">
      <alignment horizontal="right" vertical="center" wrapText="1"/>
    </xf>
    <xf numFmtId="0" fontId="0" fillId="0" borderId="44" xfId="0" applyBorder="1" applyAlignment="1">
      <alignment horizontal="right" vertical="center" wrapText="1"/>
    </xf>
    <xf numFmtId="169" fontId="2" fillId="0" borderId="0" xfId="1" applyNumberFormat="1"/>
    <xf numFmtId="0" fontId="25" fillId="0" borderId="0" xfId="0" applyFont="1" applyAlignment="1">
      <alignment horizontal="center" wrapText="1"/>
    </xf>
    <xf numFmtId="0" fontId="0" fillId="6" borderId="0" xfId="0" applyFill="1" applyAlignment="1">
      <alignment wrapText="1"/>
    </xf>
    <xf numFmtId="166" fontId="0" fillId="6" borderId="0" xfId="0" applyNumberFormat="1" applyFill="1" applyAlignment="1">
      <alignment wrapText="1"/>
    </xf>
    <xf numFmtId="0" fontId="25" fillId="0" borderId="24" xfId="0" applyFont="1" applyBorder="1" applyAlignment="1">
      <alignment horizontal="left" wrapText="1"/>
    </xf>
    <xf numFmtId="171" fontId="53" fillId="0" borderId="25" xfId="0" applyNumberFormat="1" applyFont="1" applyBorder="1"/>
    <xf numFmtId="0" fontId="25" fillId="0" borderId="0" xfId="0" applyFont="1" applyAlignment="1">
      <alignment horizontal="left" wrapText="1"/>
    </xf>
    <xf numFmtId="171" fontId="53" fillId="0" borderId="0" xfId="0" applyNumberFormat="1" applyFont="1"/>
    <xf numFmtId="0" fontId="25" fillId="0" borderId="27" xfId="0" applyFont="1" applyBorder="1" applyAlignment="1">
      <alignment vertical="center" wrapText="1"/>
    </xf>
    <xf numFmtId="0" fontId="25" fillId="0" borderId="27" xfId="0" applyFont="1" applyBorder="1"/>
    <xf numFmtId="0" fontId="25" fillId="0" borderId="45" xfId="0" applyFont="1" applyBorder="1" applyAlignment="1">
      <alignment horizontal="center" vertical="center" wrapText="1"/>
    </xf>
    <xf numFmtId="0" fontId="25" fillId="0" borderId="29" xfId="0" applyFont="1" applyBorder="1" applyAlignment="1">
      <alignment horizontal="center" wrapText="1"/>
    </xf>
    <xf numFmtId="0" fontId="25" fillId="0" borderId="29" xfId="0" applyFont="1" applyBorder="1"/>
    <xf numFmtId="0" fontId="25" fillId="0" borderId="28" xfId="0" applyFont="1" applyBorder="1"/>
    <xf numFmtId="2" fontId="54" fillId="4" borderId="26" xfId="0" applyNumberFormat="1" applyFont="1" applyFill="1" applyBorder="1"/>
    <xf numFmtId="2" fontId="50" fillId="0" borderId="0" xfId="0" applyNumberFormat="1" applyFont="1"/>
    <xf numFmtId="0" fontId="25" fillId="0" borderId="29" xfId="4" applyNumberFormat="1" applyFont="1" applyBorder="1"/>
    <xf numFmtId="0" fontId="21" fillId="0" borderId="14" xfId="0" applyFont="1" applyBorder="1" applyAlignment="1">
      <alignment horizontal="right" wrapText="1"/>
    </xf>
    <xf numFmtId="166" fontId="33" fillId="0" borderId="0" xfId="4" applyNumberFormat="1" applyFont="1" applyFill="1" applyBorder="1" applyAlignment="1">
      <alignment vertical="top"/>
    </xf>
    <xf numFmtId="3" fontId="0" fillId="0" borderId="18" xfId="0" applyNumberFormat="1" applyBorder="1"/>
    <xf numFmtId="0" fontId="46" fillId="17" borderId="0" xfId="0" applyFont="1" applyFill="1" applyAlignment="1">
      <alignment horizontal="right" wrapText="1"/>
    </xf>
    <xf numFmtId="2" fontId="46" fillId="0" borderId="0" xfId="0" applyNumberFormat="1" applyFont="1" applyAlignment="1">
      <alignment horizontal="right" wrapText="1"/>
    </xf>
    <xf numFmtId="166" fontId="55" fillId="0" borderId="0" xfId="4" applyNumberFormat="1" applyFont="1"/>
    <xf numFmtId="2" fontId="46" fillId="17" borderId="0" xfId="0" applyNumberFormat="1" applyFont="1" applyFill="1" applyAlignment="1">
      <alignment horizontal="right" wrapText="1"/>
    </xf>
    <xf numFmtId="0" fontId="45" fillId="17" borderId="0" xfId="0" applyFont="1" applyFill="1" applyAlignment="1">
      <alignment wrapText="1"/>
    </xf>
    <xf numFmtId="0" fontId="45" fillId="0" borderId="0" xfId="0" applyFont="1" applyAlignment="1">
      <alignment wrapText="1"/>
    </xf>
    <xf numFmtId="0" fontId="17" fillId="0" borderId="0" xfId="6" applyFill="1" applyAlignment="1">
      <alignment wrapText="1"/>
    </xf>
    <xf numFmtId="1" fontId="0" fillId="6" borderId="0" xfId="0" applyNumberFormat="1" applyFill="1" applyAlignment="1">
      <alignment wrapText="1"/>
    </xf>
    <xf numFmtId="0" fontId="25" fillId="0" borderId="28" xfId="4" applyNumberFormat="1" applyFont="1" applyBorder="1"/>
    <xf numFmtId="0" fontId="3" fillId="14" borderId="0" xfId="1" applyFont="1" applyFill="1" applyAlignment="1">
      <alignment wrapText="1"/>
    </xf>
    <xf numFmtId="166" fontId="5" fillId="0" borderId="0" xfId="0" applyNumberFormat="1" applyFont="1" applyAlignment="1">
      <alignment wrapText="1"/>
    </xf>
    <xf numFmtId="0" fontId="3" fillId="0" borderId="46" xfId="0" applyFont="1" applyBorder="1"/>
    <xf numFmtId="0" fontId="0" fillId="21" borderId="39" xfId="0" applyFill="1" applyBorder="1"/>
    <xf numFmtId="166" fontId="0" fillId="21" borderId="39" xfId="4" applyNumberFormat="1" applyFont="1" applyFill="1" applyBorder="1"/>
    <xf numFmtId="166" fontId="0" fillId="21" borderId="47" xfId="4" applyNumberFormat="1" applyFont="1" applyFill="1" applyBorder="1"/>
    <xf numFmtId="0" fontId="7" fillId="0" borderId="0" xfId="1" applyFont="1" applyAlignment="1">
      <alignment horizontal="left" vertical="center" wrapText="1"/>
    </xf>
    <xf numFmtId="1" fontId="0" fillId="0" borderId="29" xfId="0" applyNumberFormat="1" applyBorder="1"/>
    <xf numFmtId="1" fontId="21" fillId="20" borderId="29" xfId="0" applyNumberFormat="1" applyFont="1" applyFill="1" applyBorder="1"/>
    <xf numFmtId="1" fontId="21" fillId="20" borderId="28" xfId="0" applyNumberFormat="1" applyFont="1" applyFill="1" applyBorder="1"/>
    <xf numFmtId="0" fontId="3" fillId="0" borderId="18" xfId="0" applyFont="1" applyBorder="1"/>
    <xf numFmtId="1" fontId="3" fillId="0" borderId="0" xfId="0" applyNumberFormat="1" applyFont="1"/>
    <xf numFmtId="1" fontId="3" fillId="0" borderId="18" xfId="0" applyNumberFormat="1" applyFont="1" applyBorder="1"/>
    <xf numFmtId="0" fontId="3" fillId="0" borderId="14" xfId="0" applyFont="1" applyBorder="1"/>
    <xf numFmtId="0" fontId="49" fillId="0" borderId="18" xfId="0" applyFont="1" applyBorder="1"/>
    <xf numFmtId="1" fontId="34" fillId="0" borderId="0" xfId="0" applyNumberFormat="1" applyFont="1"/>
    <xf numFmtId="0" fontId="34" fillId="0" borderId="18" xfId="0" applyFont="1" applyBorder="1"/>
    <xf numFmtId="167" fontId="0" fillId="0" borderId="0" xfId="2" applyNumberFormat="1" applyFont="1" applyFill="1" applyAlignment="1">
      <alignment horizontal="center" vertical="center"/>
    </xf>
    <xf numFmtId="0" fontId="3" fillId="0" borderId="29" xfId="1" applyFont="1" applyBorder="1" applyAlignment="1">
      <alignment horizontal="center" vertical="center" wrapText="1"/>
    </xf>
    <xf numFmtId="166" fontId="0" fillId="0" borderId="29" xfId="2" applyNumberFormat="1" applyFont="1" applyBorder="1" applyAlignment="1">
      <alignment horizontal="center" vertical="center"/>
    </xf>
    <xf numFmtId="166" fontId="0" fillId="0" borderId="28" xfId="2" applyNumberFormat="1" applyFont="1" applyBorder="1" applyAlignment="1">
      <alignment horizontal="center" vertical="center"/>
    </xf>
    <xf numFmtId="43" fontId="0" fillId="0" borderId="20" xfId="2" applyFont="1" applyBorder="1" applyAlignment="1">
      <alignment horizontal="center" vertical="center"/>
    </xf>
    <xf numFmtId="43" fontId="0" fillId="0" borderId="23" xfId="2" applyFont="1" applyBorder="1" applyAlignment="1">
      <alignment horizontal="center" vertical="center"/>
    </xf>
    <xf numFmtId="0" fontId="3" fillId="0" borderId="29" xfId="1" applyFont="1" applyBorder="1" applyAlignment="1">
      <alignment horizontal="center" vertical="center"/>
    </xf>
    <xf numFmtId="0" fontId="3" fillId="0" borderId="28" xfId="1" applyFont="1" applyBorder="1" applyAlignment="1">
      <alignment horizontal="center" vertical="center"/>
    </xf>
    <xf numFmtId="0" fontId="12" fillId="7" borderId="14" xfId="0" applyFont="1" applyFill="1" applyBorder="1"/>
    <xf numFmtId="2" fontId="49" fillId="0" borderId="0" xfId="0" applyNumberFormat="1" applyFont="1"/>
    <xf numFmtId="166" fontId="33" fillId="0" borderId="0" xfId="4" applyNumberFormat="1" applyFont="1" applyBorder="1"/>
    <xf numFmtId="166" fontId="33" fillId="0" borderId="18" xfId="4" applyNumberFormat="1" applyFont="1" applyBorder="1"/>
    <xf numFmtId="0" fontId="49" fillId="0" borderId="20" xfId="0" applyFont="1" applyBorder="1"/>
    <xf numFmtId="0" fontId="33" fillId="0" borderId="20" xfId="0" applyFont="1" applyBorder="1"/>
    <xf numFmtId="0" fontId="33" fillId="0" borderId="23" xfId="0" applyFont="1" applyBorder="1"/>
    <xf numFmtId="0" fontId="25" fillId="0" borderId="27" xfId="0" applyFont="1" applyBorder="1" applyAlignment="1">
      <alignment wrapText="1"/>
    </xf>
    <xf numFmtId="0" fontId="42" fillId="0" borderId="14" xfId="0" applyFont="1" applyBorder="1"/>
    <xf numFmtId="0" fontId="42" fillId="0" borderId="0" xfId="0" applyFont="1"/>
    <xf numFmtId="0" fontId="49" fillId="0" borderId="0" xfId="1" applyFont="1"/>
    <xf numFmtId="0" fontId="42" fillId="0" borderId="20" xfId="0" applyFont="1" applyBorder="1" applyAlignment="1">
      <alignment wrapText="1"/>
    </xf>
    <xf numFmtId="0" fontId="42" fillId="0" borderId="20" xfId="0" applyFont="1" applyBorder="1"/>
    <xf numFmtId="0" fontId="3" fillId="0" borderId="0" xfId="0" applyFont="1" applyAlignment="1">
      <alignment horizontal="left"/>
    </xf>
    <xf numFmtId="0" fontId="3" fillId="7" borderId="0" xfId="0" applyFont="1" applyFill="1" applyAlignment="1">
      <alignment horizontal="left"/>
    </xf>
    <xf numFmtId="0" fontId="0" fillId="7" borderId="36" xfId="0" applyFill="1" applyBorder="1"/>
    <xf numFmtId="3" fontId="8" fillId="0" borderId="0" xfId="0" applyNumberFormat="1" applyFont="1"/>
    <xf numFmtId="0" fontId="8" fillId="0" borderId="0" xfId="0" applyFont="1" applyAlignment="1">
      <alignment vertical="top"/>
    </xf>
    <xf numFmtId="0" fontId="0" fillId="4" borderId="27" xfId="0" applyFill="1" applyBorder="1" applyAlignment="1">
      <alignment wrapText="1"/>
    </xf>
    <xf numFmtId="0" fontId="49" fillId="0" borderId="0" xfId="0" applyFont="1" applyAlignment="1">
      <alignment wrapText="1"/>
    </xf>
    <xf numFmtId="0" fontId="0" fillId="0" borderId="20" xfId="0" applyBorder="1" applyAlignment="1">
      <alignment wrapText="1"/>
    </xf>
    <xf numFmtId="1" fontId="0" fillId="0" borderId="0" xfId="0" applyNumberFormat="1" applyAlignment="1">
      <alignment wrapText="1"/>
    </xf>
    <xf numFmtId="0" fontId="13" fillId="0" borderId="0" xfId="0" applyFont="1"/>
    <xf numFmtId="0" fontId="0" fillId="0" borderId="29" xfId="0" applyBorder="1" applyAlignment="1">
      <alignment horizontal="right"/>
    </xf>
    <xf numFmtId="0" fontId="59" fillId="2" borderId="0" xfId="7" applyFont="1" applyFill="1" applyAlignment="1">
      <alignment wrapText="1"/>
    </xf>
    <xf numFmtId="0" fontId="59" fillId="2" borderId="0" xfId="7" applyFont="1" applyFill="1" applyAlignment="1">
      <alignment horizontal="center" wrapText="1"/>
    </xf>
    <xf numFmtId="0" fontId="59" fillId="2" borderId="0" xfId="7" applyFont="1" applyFill="1" applyAlignment="1">
      <alignment horizontal="right" wrapText="1"/>
    </xf>
    <xf numFmtId="0" fontId="59" fillId="6" borderId="0" xfId="7" applyFont="1" applyFill="1" applyAlignment="1">
      <alignment horizontal="left" vertical="center" wrapText="1"/>
    </xf>
    <xf numFmtId="168" fontId="60" fillId="6" borderId="0" xfId="7" applyNumberFormat="1" applyFont="1" applyFill="1" applyAlignment="1">
      <alignment horizontal="right" vertical="center"/>
    </xf>
    <xf numFmtId="0" fontId="59" fillId="2" borderId="0" xfId="7" applyFont="1" applyFill="1" applyAlignment="1">
      <alignment horizontal="left" vertical="center" wrapText="1"/>
    </xf>
    <xf numFmtId="0" fontId="60" fillId="2" borderId="0" xfId="7" applyFont="1" applyFill="1" applyAlignment="1">
      <alignment horizontal="right" wrapText="1"/>
    </xf>
    <xf numFmtId="166" fontId="60" fillId="2" borderId="0" xfId="4" applyNumberFormat="1" applyFont="1" applyFill="1" applyBorder="1" applyAlignment="1">
      <alignment horizontal="right" wrapText="1"/>
    </xf>
    <xf numFmtId="0" fontId="0" fillId="0" borderId="27" xfId="0" applyBorder="1"/>
    <xf numFmtId="0" fontId="0" fillId="0" borderId="29" xfId="1" applyFont="1" applyBorder="1" applyAlignment="1">
      <alignment horizontal="center" vertical="center" wrapText="1"/>
    </xf>
    <xf numFmtId="0" fontId="0" fillId="0" borderId="28" xfId="1" applyFont="1" applyBorder="1" applyAlignment="1">
      <alignment horizontal="center" vertical="center" wrapText="1"/>
    </xf>
    <xf numFmtId="0" fontId="0" fillId="0" borderId="14" xfId="0" applyBorder="1"/>
    <xf numFmtId="0" fontId="0" fillId="0" borderId="18" xfId="0" applyBorder="1"/>
    <xf numFmtId="0" fontId="0" fillId="0" borderId="0" xfId="1" applyFont="1" applyAlignment="1">
      <alignment horizontal="center" vertical="center" wrapText="1"/>
    </xf>
    <xf numFmtId="0" fontId="0" fillId="0" borderId="20" xfId="1" applyFont="1" applyBorder="1" applyAlignment="1">
      <alignment horizontal="center" vertical="center"/>
    </xf>
    <xf numFmtId="0" fontId="0" fillId="0" borderId="15" xfId="0" applyBorder="1"/>
    <xf numFmtId="0" fontId="0" fillId="0" borderId="23" xfId="0" applyBorder="1"/>
    <xf numFmtId="0" fontId="43" fillId="14" borderId="15" xfId="1" applyFont="1" applyFill="1" applyBorder="1" applyAlignment="1">
      <alignment horizontal="left" vertical="center" wrapText="1"/>
    </xf>
    <xf numFmtId="0" fontId="61" fillId="7" borderId="27" xfId="3" applyFont="1" applyFill="1" applyBorder="1" applyAlignment="1">
      <alignment wrapText="1"/>
    </xf>
    <xf numFmtId="0" fontId="0" fillId="0" borderId="0" xfId="1" applyFont="1" applyAlignment="1">
      <alignment wrapText="1"/>
    </xf>
    <xf numFmtId="0" fontId="43" fillId="14" borderId="14" xfId="1" applyFont="1" applyFill="1" applyBorder="1" applyAlignment="1">
      <alignment horizontal="left" vertical="center" wrapText="1"/>
    </xf>
    <xf numFmtId="0" fontId="0" fillId="0" borderId="14" xfId="1" applyFont="1" applyBorder="1" applyAlignment="1">
      <alignment horizontal="left" wrapText="1"/>
    </xf>
    <xf numFmtId="3" fontId="0" fillId="0" borderId="0" xfId="1" applyNumberFormat="1" applyFont="1" applyAlignment="1">
      <alignment horizontal="center"/>
    </xf>
    <xf numFmtId="0" fontId="0" fillId="0" borderId="20" xfId="1" applyFont="1" applyBorder="1"/>
    <xf numFmtId="3" fontId="0" fillId="4" borderId="12" xfId="0" applyNumberFormat="1" applyFill="1" applyBorder="1"/>
    <xf numFmtId="3" fontId="62" fillId="0" borderId="0" xfId="0" applyNumberFormat="1" applyFont="1" applyAlignment="1">
      <alignment horizontal="center" vertical="center"/>
    </xf>
    <xf numFmtId="3" fontId="62" fillId="0" borderId="18" xfId="0" applyNumberFormat="1" applyFont="1" applyBorder="1" applyAlignment="1">
      <alignment horizontal="center" vertical="center"/>
    </xf>
    <xf numFmtId="0" fontId="0" fillId="4" borderId="20" xfId="0" applyFill="1" applyBorder="1"/>
    <xf numFmtId="1" fontId="0" fillId="0" borderId="18" xfId="0" applyNumberFormat="1" applyBorder="1"/>
    <xf numFmtId="0" fontId="0" fillId="0" borderId="18" xfId="0" applyBorder="1" applyAlignment="1">
      <alignment wrapText="1"/>
    </xf>
    <xf numFmtId="3" fontId="63" fillId="0" borderId="0" xfId="0" applyNumberFormat="1" applyFont="1" applyAlignment="1">
      <alignment wrapText="1"/>
    </xf>
    <xf numFmtId="0" fontId="3" fillId="0" borderId="28" xfId="0" applyFont="1" applyBorder="1" applyAlignment="1">
      <alignment horizontal="center" vertical="center" wrapText="1"/>
    </xf>
    <xf numFmtId="0" fontId="0" fillId="0" borderId="42" xfId="0" applyBorder="1" applyAlignment="1">
      <alignment wrapText="1"/>
    </xf>
    <xf numFmtId="0" fontId="0" fillId="0" borderId="0" xfId="0" applyAlignment="1">
      <alignment horizontal="center" wrapText="1"/>
    </xf>
    <xf numFmtId="0" fontId="0" fillId="0" borderId="0" xfId="0" applyAlignment="1">
      <alignment horizontal="center"/>
    </xf>
    <xf numFmtId="0" fontId="3" fillId="0" borderId="0" xfId="0" applyFont="1" applyAlignment="1">
      <alignment horizontal="right" vertical="center" wrapText="1"/>
    </xf>
    <xf numFmtId="0" fontId="34" fillId="0" borderId="0" xfId="0" applyFont="1" applyAlignment="1">
      <alignment horizontal="right" wrapText="1"/>
    </xf>
    <xf numFmtId="1" fontId="32" fillId="0" borderId="0" xfId="0" applyNumberFormat="1" applyFont="1" applyAlignment="1">
      <alignment vertical="top"/>
    </xf>
    <xf numFmtId="169" fontId="8" fillId="0" borderId="0" xfId="0" applyNumberFormat="1" applyFont="1" applyAlignment="1">
      <alignment vertical="top"/>
    </xf>
    <xf numFmtId="0" fontId="34" fillId="0" borderId="0" xfId="0" applyFont="1" applyAlignment="1">
      <alignment vertical="top"/>
    </xf>
    <xf numFmtId="1" fontId="34" fillId="0" borderId="0" xfId="0" applyNumberFormat="1" applyFont="1" applyAlignment="1">
      <alignment vertical="top"/>
    </xf>
    <xf numFmtId="166" fontId="19" fillId="0" borderId="0" xfId="0" applyNumberFormat="1" applyFont="1" applyAlignment="1">
      <alignment vertical="top"/>
    </xf>
    <xf numFmtId="1" fontId="35" fillId="0" borderId="0" xfId="0" applyNumberFormat="1" applyFont="1" applyAlignment="1">
      <alignment vertical="top"/>
    </xf>
    <xf numFmtId="1" fontId="8" fillId="0" borderId="0" xfId="0" applyNumberFormat="1" applyFont="1" applyAlignment="1">
      <alignment vertical="top"/>
    </xf>
    <xf numFmtId="1" fontId="37" fillId="0" borderId="0" xfId="0" applyNumberFormat="1" applyFont="1" applyAlignment="1">
      <alignment vertical="top"/>
    </xf>
    <xf numFmtId="0" fontId="0" fillId="0" borderId="14" xfId="0" applyBorder="1" applyAlignment="1">
      <alignment horizontal="center" wrapText="1"/>
    </xf>
    <xf numFmtId="0" fontId="0" fillId="7" borderId="18" xfId="0" applyFill="1" applyBorder="1" applyAlignment="1">
      <alignment wrapText="1"/>
    </xf>
    <xf numFmtId="166" fontId="36" fillId="0" borderId="20" xfId="0" applyNumberFormat="1" applyFont="1" applyBorder="1" applyAlignment="1">
      <alignment vertical="top"/>
    </xf>
    <xf numFmtId="3" fontId="0" fillId="0" borderId="23" xfId="0" applyNumberFormat="1" applyBorder="1"/>
    <xf numFmtId="173" fontId="0" fillId="0" borderId="0" xfId="0" applyNumberFormat="1"/>
    <xf numFmtId="1" fontId="0" fillId="0" borderId="0" xfId="4" applyNumberFormat="1" applyFont="1" applyBorder="1"/>
    <xf numFmtId="1" fontId="0" fillId="0" borderId="18" xfId="4" applyNumberFormat="1" applyFont="1" applyBorder="1"/>
    <xf numFmtId="0" fontId="15" fillId="0" borderId="0" xfId="0" applyFont="1"/>
    <xf numFmtId="9" fontId="8" fillId="0" borderId="0" xfId="5" applyFont="1" applyFill="1" applyBorder="1" applyAlignment="1">
      <alignment horizontal="right"/>
    </xf>
    <xf numFmtId="0" fontId="0" fillId="0" borderId="0" xfId="0" applyAlignment="1">
      <alignment horizontal="left" vertical="top" wrapText="1"/>
    </xf>
    <xf numFmtId="0" fontId="0" fillId="8" borderId="0" xfId="0" applyFill="1" applyAlignment="1">
      <alignment vertical="center" wrapText="1"/>
    </xf>
    <xf numFmtId="0" fontId="3" fillId="0" borderId="0" xfId="0" applyFont="1" applyAlignment="1">
      <alignment horizontal="center" vertical="center" wrapText="1"/>
    </xf>
    <xf numFmtId="0" fontId="3" fillId="0" borderId="29" xfId="0" applyFont="1" applyBorder="1" applyAlignment="1">
      <alignment horizontal="center" vertical="center" wrapText="1"/>
    </xf>
    <xf numFmtId="0" fontId="7" fillId="0" borderId="20" xfId="1" applyFont="1" applyBorder="1" applyAlignment="1">
      <alignment horizontal="left" vertical="center" wrapText="1"/>
    </xf>
    <xf numFmtId="0" fontId="3" fillId="0" borderId="0" xfId="1" applyFont="1" applyAlignment="1">
      <alignment horizontal="center" vertical="center" wrapText="1"/>
    </xf>
    <xf numFmtId="0" fontId="28" fillId="0" borderId="0" xfId="0" applyFont="1" applyAlignment="1">
      <alignment horizontal="center" vertical="center" wrapText="1"/>
    </xf>
    <xf numFmtId="0" fontId="40" fillId="0" borderId="0" xfId="0" applyFont="1" applyAlignment="1">
      <alignment horizontal="center" vertical="top" wrapText="1"/>
    </xf>
    <xf numFmtId="165" fontId="0" fillId="0" borderId="0" xfId="0" applyNumberFormat="1"/>
    <xf numFmtId="3" fontId="5" fillId="0" borderId="0" xfId="0" applyNumberFormat="1" applyFont="1" applyAlignment="1">
      <alignment wrapText="1"/>
    </xf>
    <xf numFmtId="1" fontId="0" fillId="0" borderId="14" xfId="0" applyNumberFormat="1" applyBorder="1" applyAlignment="1">
      <alignment wrapText="1"/>
    </xf>
    <xf numFmtId="165" fontId="12" fillId="0" borderId="0" xfId="7" applyNumberFormat="1" applyFont="1" applyAlignment="1">
      <alignment horizontal="right"/>
    </xf>
    <xf numFmtId="0" fontId="17" fillId="0" borderId="0" xfId="6" applyAlignment="1">
      <alignment wrapText="1"/>
    </xf>
    <xf numFmtId="2" fontId="8" fillId="0" borderId="0" xfId="0" applyNumberFormat="1" applyFont="1" applyAlignment="1">
      <alignment wrapText="1"/>
    </xf>
    <xf numFmtId="0" fontId="8" fillId="0" borderId="0" xfId="0" applyFont="1"/>
    <xf numFmtId="166" fontId="0" fillId="0" borderId="28" xfId="4" applyNumberFormat="1" applyFont="1" applyBorder="1"/>
    <xf numFmtId="166" fontId="0" fillId="0" borderId="18" xfId="4" applyNumberFormat="1" applyFont="1" applyBorder="1"/>
    <xf numFmtId="0" fontId="5" fillId="0" borderId="0" xfId="0" applyFont="1"/>
    <xf numFmtId="166" fontId="0" fillId="0" borderId="17" xfId="4" applyNumberFormat="1" applyFont="1" applyFill="1" applyBorder="1"/>
    <xf numFmtId="0" fontId="20" fillId="0" borderId="0" xfId="0" applyFont="1" applyAlignment="1">
      <alignment vertical="center" wrapText="1"/>
    </xf>
    <xf numFmtId="0" fontId="49" fillId="0" borderId="0" xfId="0" applyFont="1" applyAlignment="1">
      <alignment vertical="center" wrapText="1"/>
    </xf>
    <xf numFmtId="0" fontId="5" fillId="0" borderId="0" xfId="0" applyFont="1" applyAlignment="1">
      <alignment horizontal="left" vertical="center" wrapText="1"/>
    </xf>
    <xf numFmtId="3" fontId="0" fillId="0" borderId="0" xfId="0" applyNumberFormat="1" applyAlignment="1">
      <alignment horizontal="center"/>
    </xf>
    <xf numFmtId="173" fontId="0" fillId="0" borderId="18" xfId="0" applyNumberFormat="1" applyBorder="1"/>
    <xf numFmtId="165" fontId="0" fillId="0" borderId="20" xfId="0" applyNumberFormat="1" applyBorder="1"/>
    <xf numFmtId="1" fontId="0" fillId="0" borderId="20" xfId="0" applyNumberFormat="1" applyBorder="1"/>
    <xf numFmtId="3" fontId="0" fillId="0" borderId="23" xfId="0" applyNumberFormat="1" applyBorder="1" applyAlignment="1">
      <alignment horizontal="center"/>
    </xf>
    <xf numFmtId="1" fontId="21" fillId="0" borderId="29" xfId="0" applyNumberFormat="1" applyFont="1" applyBorder="1"/>
    <xf numFmtId="164" fontId="0" fillId="0" borderId="0" xfId="0" applyNumberFormat="1"/>
    <xf numFmtId="1" fontId="0" fillId="0" borderId="0" xfId="0" applyNumberFormat="1" applyAlignment="1">
      <alignment horizontal="right" vertical="center"/>
    </xf>
    <xf numFmtId="3" fontId="49" fillId="0" borderId="0" xfId="0" applyNumberFormat="1" applyFont="1"/>
    <xf numFmtId="49" fontId="20" fillId="0" borderId="0" xfId="1" applyNumberFormat="1" applyFont="1"/>
    <xf numFmtId="0" fontId="1" fillId="7" borderId="6" xfId="0" applyFont="1" applyFill="1" applyBorder="1" applyAlignment="1">
      <alignment horizontal="left" wrapText="1"/>
    </xf>
    <xf numFmtId="0" fontId="1" fillId="7" borderId="39" xfId="0" applyFont="1" applyFill="1" applyBorder="1" applyAlignment="1">
      <alignment horizontal="left" wrapText="1"/>
    </xf>
    <xf numFmtId="0" fontId="1" fillId="0" borderId="0" xfId="0" applyFont="1"/>
    <xf numFmtId="0" fontId="1" fillId="7" borderId="44" xfId="0" applyFont="1" applyFill="1" applyBorder="1"/>
    <xf numFmtId="166" fontId="1" fillId="0" borderId="0" xfId="4" applyNumberFormat="1" applyFont="1" applyAlignment="1"/>
    <xf numFmtId="0" fontId="1" fillId="13" borderId="2" xfId="0" applyFont="1" applyFill="1" applyBorder="1"/>
    <xf numFmtId="171" fontId="1" fillId="0" borderId="0" xfId="0" applyNumberFormat="1" applyFont="1"/>
    <xf numFmtId="0" fontId="1" fillId="7" borderId="4" xfId="0" applyFont="1" applyFill="1" applyBorder="1"/>
    <xf numFmtId="0" fontId="1" fillId="7" borderId="2" xfId="0" applyFont="1" applyFill="1" applyBorder="1" applyAlignment="1">
      <alignment horizontal="left"/>
    </xf>
    <xf numFmtId="0" fontId="1" fillId="7" borderId="4" xfId="0" applyFont="1" applyFill="1" applyBorder="1" applyAlignment="1">
      <alignment horizontal="left"/>
    </xf>
    <xf numFmtId="0" fontId="1" fillId="0" borderId="0" xfId="0" applyFont="1" applyAlignment="1">
      <alignment wrapText="1"/>
    </xf>
    <xf numFmtId="164" fontId="1" fillId="0" borderId="0" xfId="0" applyNumberFormat="1" applyFont="1"/>
    <xf numFmtId="0" fontId="1" fillId="0" borderId="25" xfId="0" applyFont="1" applyBorder="1"/>
    <xf numFmtId="0" fontId="1" fillId="0" borderId="26" xfId="0" applyFont="1" applyBorder="1"/>
    <xf numFmtId="1" fontId="1" fillId="0" borderId="0" xfId="0" applyNumberFormat="1" applyFont="1"/>
    <xf numFmtId="0" fontId="1" fillId="0" borderId="14" xfId="0" applyFont="1" applyBorder="1"/>
    <xf numFmtId="172" fontId="1" fillId="0" borderId="0" xfId="0" applyNumberFormat="1" applyFont="1"/>
    <xf numFmtId="172" fontId="1" fillId="0" borderId="18" xfId="0" applyNumberFormat="1" applyFont="1" applyBorder="1"/>
    <xf numFmtId="0" fontId="1" fillId="0" borderId="15" xfId="0" applyFont="1" applyBorder="1"/>
    <xf numFmtId="172" fontId="1" fillId="0" borderId="20" xfId="0" applyNumberFormat="1" applyFont="1" applyBorder="1"/>
    <xf numFmtId="172" fontId="1" fillId="0" borderId="23" xfId="0" applyNumberFormat="1" applyFont="1" applyBorder="1"/>
    <xf numFmtId="0" fontId="1" fillId="0" borderId="25" xfId="0" applyFont="1" applyBorder="1" applyAlignment="1">
      <alignment wrapText="1"/>
    </xf>
    <xf numFmtId="0" fontId="1" fillId="0" borderId="0" xfId="0" applyFont="1" applyAlignment="1">
      <alignment vertical="center"/>
    </xf>
    <xf numFmtId="0" fontId="1" fillId="8" borderId="25" xfId="0" applyFont="1" applyFill="1" applyBorder="1"/>
    <xf numFmtId="0" fontId="1" fillId="8" borderId="25" xfId="0" applyFont="1" applyFill="1" applyBorder="1" applyAlignment="1">
      <alignment horizontal="left" wrapText="1"/>
    </xf>
    <xf numFmtId="0" fontId="1" fillId="8" borderId="26" xfId="0" applyFont="1" applyFill="1" applyBorder="1"/>
    <xf numFmtId="0" fontId="1" fillId="0" borderId="0" xfId="0" applyFont="1" applyAlignment="1">
      <alignment horizontal="left" wrapText="1"/>
    </xf>
    <xf numFmtId="0" fontId="1" fillId="0" borderId="14" xfId="0" applyFont="1" applyBorder="1" applyAlignment="1">
      <alignment horizontal="left"/>
    </xf>
    <xf numFmtId="166" fontId="1" fillId="0" borderId="0" xfId="4" applyNumberFormat="1" applyFont="1" applyBorder="1"/>
    <xf numFmtId="166" fontId="1" fillId="0" borderId="18" xfId="4" applyNumberFormat="1" applyFont="1" applyBorder="1"/>
    <xf numFmtId="166" fontId="1" fillId="0" borderId="0" xfId="0" applyNumberFormat="1" applyFont="1"/>
    <xf numFmtId="166" fontId="1" fillId="0" borderId="18" xfId="0" applyNumberFormat="1" applyFont="1" applyBorder="1"/>
    <xf numFmtId="0" fontId="1" fillId="0" borderId="15" xfId="0" applyFont="1" applyBorder="1" applyAlignment="1">
      <alignment horizontal="left"/>
    </xf>
    <xf numFmtId="166" fontId="1" fillId="0" borderId="20" xfId="4" applyNumberFormat="1" applyFont="1" applyBorder="1"/>
    <xf numFmtId="166" fontId="1" fillId="0" borderId="23" xfId="4" applyNumberFormat="1" applyFont="1" applyBorder="1"/>
    <xf numFmtId="0" fontId="1" fillId="0" borderId="0" xfId="0" applyFont="1" applyAlignment="1">
      <alignment horizontal="left"/>
    </xf>
    <xf numFmtId="166" fontId="1" fillId="0" borderId="0" xfId="4" applyNumberFormat="1" applyFont="1"/>
    <xf numFmtId="166" fontId="1" fillId="0" borderId="0" xfId="4" applyNumberFormat="1" applyFont="1" applyFill="1" applyBorder="1"/>
    <xf numFmtId="166" fontId="1" fillId="0" borderId="18" xfId="4" applyNumberFormat="1" applyFont="1" applyFill="1" applyBorder="1"/>
    <xf numFmtId="166" fontId="1" fillId="0" borderId="20" xfId="4" applyNumberFormat="1" applyFont="1" applyFill="1" applyBorder="1"/>
    <xf numFmtId="166" fontId="1" fillId="0" borderId="23" xfId="4" applyNumberFormat="1" applyFont="1" applyFill="1" applyBorder="1"/>
    <xf numFmtId="166" fontId="1" fillId="0" borderId="0" xfId="4" applyNumberFormat="1" applyFont="1" applyFill="1" applyAlignment="1">
      <alignment horizontal="left"/>
    </xf>
    <xf numFmtId="0" fontId="0" fillId="0" borderId="0" xfId="0" applyAlignment="1">
      <alignment horizontal="left" vertical="top" wrapText="1"/>
    </xf>
    <xf numFmtId="165" fontId="0" fillId="0" borderId="0" xfId="0" applyNumberFormat="1" applyAlignment="1">
      <alignment horizontal="center" vertical="center"/>
    </xf>
    <xf numFmtId="0" fontId="3" fillId="4" borderId="0" xfId="0" applyFont="1" applyFill="1" applyAlignment="1">
      <alignment wrapText="1"/>
    </xf>
    <xf numFmtId="1" fontId="3" fillId="4" borderId="0" xfId="0" applyNumberFormat="1" applyFont="1" applyFill="1"/>
    <xf numFmtId="0" fontId="3" fillId="4" borderId="0" xfId="0" applyFont="1" applyFill="1"/>
    <xf numFmtId="164" fontId="51" fillId="4" borderId="18" xfId="0" applyNumberFormat="1" applyFont="1" applyFill="1" applyBorder="1"/>
    <xf numFmtId="2" fontId="51" fillId="4" borderId="18" xfId="0" applyNumberFormat="1" applyFont="1" applyFill="1" applyBorder="1"/>
    <xf numFmtId="0" fontId="0" fillId="0" borderId="29" xfId="0" applyBorder="1" applyAlignment="1">
      <alignment wrapText="1"/>
    </xf>
    <xf numFmtId="2" fontId="21" fillId="20" borderId="18" xfId="0" applyNumberFormat="1" applyFont="1" applyFill="1" applyBorder="1"/>
    <xf numFmtId="0" fontId="51" fillId="4" borderId="29" xfId="0" applyFont="1" applyFill="1" applyBorder="1"/>
    <xf numFmtId="2" fontId="0" fillId="0" borderId="20" xfId="0" applyNumberFormat="1" applyBorder="1"/>
    <xf numFmtId="0" fontId="0" fillId="20" borderId="29" xfId="0" applyFill="1" applyBorder="1" applyAlignment="1">
      <alignment wrapText="1"/>
    </xf>
    <xf numFmtId="0" fontId="0" fillId="20" borderId="29" xfId="0" applyFill="1" applyBorder="1"/>
    <xf numFmtId="0" fontId="0" fillId="20" borderId="28" xfId="0" applyFill="1" applyBorder="1"/>
    <xf numFmtId="0" fontId="0" fillId="7" borderId="0" xfId="0" applyFont="1" applyFill="1"/>
    <xf numFmtId="1" fontId="0" fillId="7" borderId="0" xfId="0" applyNumberFormat="1" applyFont="1" applyFill="1"/>
    <xf numFmtId="0" fontId="0" fillId="7" borderId="0" xfId="0" applyFont="1" applyFill="1" applyAlignment="1">
      <alignment wrapText="1"/>
    </xf>
    <xf numFmtId="0" fontId="5" fillId="0" borderId="0" xfId="0" applyFont="1" applyAlignment="1"/>
    <xf numFmtId="175" fontId="1" fillId="0" borderId="18" xfId="0" applyNumberFormat="1" applyFont="1" applyBorder="1"/>
    <xf numFmtId="3" fontId="12" fillId="0" borderId="0" xfId="0" applyNumberFormat="1" applyFont="1" applyFill="1"/>
    <xf numFmtId="0" fontId="12" fillId="0" borderId="0" xfId="0" applyFont="1" applyFill="1" applyAlignment="1">
      <alignment wrapText="1"/>
    </xf>
    <xf numFmtId="0" fontId="3" fillId="0" borderId="0" xfId="0" applyFont="1" applyFill="1" applyBorder="1" applyAlignment="1"/>
    <xf numFmtId="0" fontId="1" fillId="0" borderId="0" xfId="0" applyFont="1" applyFill="1"/>
    <xf numFmtId="0" fontId="0" fillId="0" borderId="0" xfId="0"/>
    <xf numFmtId="1" fontId="0" fillId="0" borderId="0" xfId="0" applyNumberFormat="1"/>
    <xf numFmtId="1" fontId="49" fillId="0" borderId="0" xfId="0" applyNumberFormat="1" applyFont="1"/>
    <xf numFmtId="0" fontId="0" fillId="0" borderId="0" xfId="0" applyAlignment="1">
      <alignment wrapText="1"/>
    </xf>
    <xf numFmtId="1" fontId="0" fillId="0" borderId="0" xfId="0" applyNumberFormat="1"/>
    <xf numFmtId="1" fontId="21" fillId="20" borderId="0" xfId="0" applyNumberFormat="1" applyFont="1" applyFill="1"/>
    <xf numFmtId="1" fontId="32" fillId="20" borderId="0" xfId="0" applyNumberFormat="1" applyFont="1" applyFill="1"/>
    <xf numFmtId="0" fontId="0" fillId="20" borderId="0" xfId="0" applyFill="1" applyAlignment="1">
      <alignment wrapText="1"/>
    </xf>
    <xf numFmtId="0" fontId="0" fillId="20" borderId="0" xfId="0" applyFill="1"/>
    <xf numFmtId="0" fontId="21" fillId="20" borderId="0" xfId="0" applyFont="1" applyFill="1"/>
    <xf numFmtId="3" fontId="0" fillId="0" borderId="0" xfId="0" applyNumberFormat="1" applyAlignment="1">
      <alignment wrapText="1"/>
    </xf>
    <xf numFmtId="2" fontId="0" fillId="0" borderId="0" xfId="0" applyNumberFormat="1" applyAlignment="1">
      <alignment wrapText="1"/>
    </xf>
    <xf numFmtId="1" fontId="0" fillId="20" borderId="0" xfId="0" applyNumberFormat="1" applyFill="1"/>
    <xf numFmtId="3" fontId="8" fillId="20" borderId="0" xfId="0" applyNumberFormat="1" applyFont="1" applyFill="1" applyAlignment="1">
      <alignment vertical="top"/>
    </xf>
    <xf numFmtId="0" fontId="0" fillId="20" borderId="0" xfId="0" applyFill="1" applyAlignment="1">
      <alignment vertical="top"/>
    </xf>
    <xf numFmtId="0" fontId="8" fillId="0" borderId="0" xfId="0" applyFont="1" applyAlignment="1">
      <alignment horizontal="left" vertical="top"/>
    </xf>
    <xf numFmtId="0" fontId="8" fillId="20" borderId="0" xfId="0" applyFont="1" applyFill="1" applyAlignment="1">
      <alignment horizontal="left" vertical="top"/>
    </xf>
    <xf numFmtId="1" fontId="79" fillId="20" borderId="0" xfId="0" applyNumberFormat="1" applyFont="1" applyFill="1"/>
    <xf numFmtId="169" fontId="0" fillId="20" borderId="0" xfId="0" applyNumberFormat="1" applyFill="1"/>
    <xf numFmtId="169" fontId="8" fillId="20" borderId="0" xfId="0" applyNumberFormat="1" applyFont="1" applyFill="1"/>
    <xf numFmtId="171" fontId="0" fillId="0" borderId="0" xfId="0" applyNumberFormat="1" applyAlignment="1">
      <alignment wrapText="1"/>
    </xf>
    <xf numFmtId="171" fontId="0" fillId="0" borderId="0" xfId="0" applyNumberFormat="1"/>
    <xf numFmtId="171" fontId="21" fillId="20" borderId="0" xfId="0" applyNumberFormat="1" applyFont="1" applyFill="1"/>
    <xf numFmtId="171" fontId="32" fillId="20" borderId="0" xfId="0" applyNumberFormat="1" applyFont="1" applyFill="1"/>
    <xf numFmtId="2" fontId="21" fillId="20" borderId="0" xfId="0" applyNumberFormat="1" applyFont="1" applyFill="1"/>
    <xf numFmtId="2" fontId="51" fillId="4" borderId="0" xfId="0" applyNumberFormat="1" applyFont="1" applyFill="1"/>
    <xf numFmtId="0" fontId="51" fillId="4" borderId="0" xfId="0" applyFont="1" applyFill="1"/>
    <xf numFmtId="2" fontId="0" fillId="20" borderId="0" xfId="0" applyNumberFormat="1" applyFill="1"/>
    <xf numFmtId="0" fontId="49" fillId="0" borderId="0" xfId="0" applyFont="1" applyAlignment="1">
      <alignment horizontal="center" vertical="top" wrapText="1"/>
    </xf>
    <xf numFmtId="0" fontId="3" fillId="0" borderId="0" xfId="0" applyFont="1" applyAlignment="1">
      <alignment horizontal="left" vertical="center" wrapText="1"/>
    </xf>
    <xf numFmtId="0" fontId="10" fillId="0" borderId="0" xfId="7" applyFont="1" applyAlignment="1">
      <alignment horizontal="left" vertical="top" wrapText="1"/>
    </xf>
    <xf numFmtId="0" fontId="0" fillId="0" borderId="0" xfId="0" applyAlignment="1">
      <alignment horizontal="left" vertical="center" wrapText="1"/>
    </xf>
    <xf numFmtId="0" fontId="0" fillId="8" borderId="0" xfId="0" applyFill="1" applyAlignment="1">
      <alignment vertical="center" wrapText="1"/>
    </xf>
    <xf numFmtId="0" fontId="25" fillId="0" borderId="0" xfId="0" applyFont="1" applyAlignment="1">
      <alignment horizontal="center" vertical="center" wrapText="1"/>
    </xf>
    <xf numFmtId="0" fontId="0" fillId="8" borderId="1" xfId="0" applyFill="1" applyBorder="1" applyAlignment="1">
      <alignment vertical="center" wrapText="1"/>
    </xf>
    <xf numFmtId="0" fontId="0" fillId="8" borderId="11" xfId="0" applyFill="1" applyBorder="1" applyAlignment="1">
      <alignment vertical="center" wrapText="1"/>
    </xf>
    <xf numFmtId="0" fontId="0" fillId="8" borderId="5" xfId="0" applyFill="1" applyBorder="1" applyAlignment="1">
      <alignment vertical="center" wrapText="1"/>
    </xf>
    <xf numFmtId="0" fontId="43" fillId="0" borderId="0" xfId="0" applyFont="1" applyAlignment="1">
      <alignment horizontal="center" vertical="center" wrapText="1"/>
    </xf>
    <xf numFmtId="0" fontId="13" fillId="0" borderId="0" xfId="0" applyFont="1" applyAlignment="1">
      <alignment horizontal="center" wrapText="1"/>
    </xf>
    <xf numFmtId="0" fontId="3" fillId="0" borderId="0" xfId="0" applyFont="1" applyAlignment="1">
      <alignment horizontal="center" vertical="center" wrapText="1"/>
    </xf>
    <xf numFmtId="0" fontId="12" fillId="0" borderId="0" xfId="0" applyFont="1" applyFill="1" applyAlignment="1">
      <alignment horizontal="center"/>
    </xf>
    <xf numFmtId="0" fontId="0" fillId="0" borderId="0" xfId="0" applyAlignment="1">
      <alignment horizontal="right" vertical="center"/>
    </xf>
    <xf numFmtId="0" fontId="1" fillId="0" borderId="14" xfId="0" applyFont="1" applyBorder="1" applyAlignment="1">
      <alignment horizontal="left" vertical="top" wrapText="1"/>
    </xf>
    <xf numFmtId="0" fontId="1" fillId="0" borderId="0" xfId="0" applyFont="1" applyAlignment="1">
      <alignment horizontal="left" vertical="top" wrapText="1"/>
    </xf>
    <xf numFmtId="0" fontId="3" fillId="0" borderId="29" xfId="0" applyFont="1" applyBorder="1" applyAlignment="1">
      <alignment horizontal="center" vertical="center"/>
    </xf>
    <xf numFmtId="0" fontId="3" fillId="0" borderId="29"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center"/>
    </xf>
    <xf numFmtId="0" fontId="3" fillId="0" borderId="0" xfId="0" applyFont="1" applyAlignment="1">
      <alignment horizontal="center" wrapText="1"/>
    </xf>
    <xf numFmtId="0" fontId="3" fillId="0" borderId="31" xfId="0" applyFont="1" applyBorder="1" applyAlignment="1">
      <alignment horizontal="center"/>
    </xf>
    <xf numFmtId="0" fontId="3" fillId="0" borderId="0" xfId="0" applyFont="1" applyAlignment="1">
      <alignment horizontal="center"/>
    </xf>
    <xf numFmtId="0" fontId="0" fillId="0" borderId="0" xfId="0" applyAlignment="1">
      <alignment horizontal="left" wrapText="1"/>
    </xf>
    <xf numFmtId="165" fontId="58" fillId="0" borderId="24" xfId="1" applyNumberFormat="1" applyFont="1" applyFill="1" applyBorder="1" applyAlignment="1">
      <alignment horizontal="center"/>
    </xf>
    <xf numFmtId="165" fontId="58" fillId="0" borderId="25" xfId="1" applyNumberFormat="1" applyFont="1" applyFill="1" applyBorder="1" applyAlignment="1">
      <alignment horizontal="center"/>
    </xf>
    <xf numFmtId="165" fontId="58" fillId="0" borderId="26" xfId="1" applyNumberFormat="1" applyFont="1" applyFill="1" applyBorder="1" applyAlignment="1">
      <alignment horizontal="center"/>
    </xf>
    <xf numFmtId="0" fontId="9" fillId="4" borderId="20" xfId="1" applyFont="1" applyFill="1" applyBorder="1" applyAlignment="1">
      <alignment horizontal="center" vertical="center" wrapText="1"/>
    </xf>
    <xf numFmtId="0" fontId="56" fillId="0" borderId="27" xfId="0" applyFont="1" applyBorder="1" applyAlignment="1">
      <alignment horizontal="center" vertical="center" wrapText="1"/>
    </xf>
    <xf numFmtId="0" fontId="56" fillId="0" borderId="29" xfId="0" applyFont="1" applyBorder="1" applyAlignment="1">
      <alignment horizontal="center" vertical="center" wrapText="1"/>
    </xf>
    <xf numFmtId="0" fontId="56" fillId="0" borderId="28" xfId="0" applyFont="1" applyBorder="1" applyAlignment="1">
      <alignment horizontal="center" vertical="center" wrapText="1"/>
    </xf>
    <xf numFmtId="0" fontId="12" fillId="0" borderId="15" xfId="0" applyFont="1" applyFill="1" applyBorder="1" applyAlignment="1">
      <alignment horizontal="center"/>
    </xf>
    <xf numFmtId="0" fontId="12" fillId="0" borderId="20" xfId="0" applyFont="1" applyFill="1" applyBorder="1" applyAlignment="1">
      <alignment horizontal="center"/>
    </xf>
    <xf numFmtId="0" fontId="7" fillId="0" borderId="15" xfId="1" applyFont="1" applyBorder="1" applyAlignment="1">
      <alignment horizontal="left" vertical="center" wrapText="1"/>
    </xf>
    <xf numFmtId="0" fontId="7" fillId="0" borderId="20" xfId="1" applyFont="1" applyBorder="1" applyAlignment="1">
      <alignment horizontal="left" vertical="center" wrapText="1"/>
    </xf>
    <xf numFmtId="0" fontId="15" fillId="0" borderId="0" xfId="1" applyFont="1" applyAlignment="1">
      <alignment horizontal="left" vertical="top" wrapText="1"/>
    </xf>
    <xf numFmtId="0" fontId="49" fillId="4" borderId="0" xfId="0" applyFont="1" applyFill="1" applyAlignment="1">
      <alignment horizontal="center" wrapText="1"/>
    </xf>
    <xf numFmtId="0" fontId="0" fillId="0" borderId="0" xfId="0" applyAlignment="1">
      <alignment horizontal="center"/>
    </xf>
    <xf numFmtId="0" fontId="0" fillId="14" borderId="0" xfId="0" applyFill="1" applyAlignment="1">
      <alignment horizontal="center"/>
    </xf>
    <xf numFmtId="0" fontId="2" fillId="0" borderId="0" xfId="1" applyAlignment="1">
      <alignment horizontal="center"/>
    </xf>
    <xf numFmtId="0" fontId="13" fillId="0" borderId="1" xfId="1" applyFont="1" applyBorder="1" applyAlignment="1">
      <alignment horizontal="left" vertical="center" wrapText="1"/>
    </xf>
    <xf numFmtId="0" fontId="3" fillId="0" borderId="8" xfId="1" applyFont="1" applyBorder="1" applyAlignment="1">
      <alignment vertical="center" wrapText="1"/>
    </xf>
    <xf numFmtId="0" fontId="3" fillId="0" borderId="7" xfId="1" applyFont="1" applyBorder="1" applyAlignment="1">
      <alignment vertical="center" wrapText="1"/>
    </xf>
    <xf numFmtId="0" fontId="2" fillId="0" borderId="7" xfId="1" applyBorder="1" applyAlignment="1">
      <alignment wrapText="1"/>
    </xf>
    <xf numFmtId="0" fontId="2" fillId="0" borderId="9" xfId="1" applyBorder="1" applyAlignment="1">
      <alignment wrapText="1"/>
    </xf>
    <xf numFmtId="0" fontId="14" fillId="0" borderId="8" xfId="1" applyFont="1" applyBorder="1" applyAlignment="1">
      <alignment horizontal="center" vertical="center" wrapText="1"/>
    </xf>
    <xf numFmtId="0" fontId="14" fillId="0" borderId="7" xfId="1" applyFont="1" applyBorder="1" applyAlignment="1">
      <alignment horizontal="center" vertical="center" wrapText="1"/>
    </xf>
    <xf numFmtId="0" fontId="15" fillId="0" borderId="0" xfId="1" applyFont="1" applyAlignment="1">
      <alignment horizontal="center"/>
    </xf>
    <xf numFmtId="0" fontId="3" fillId="0" borderId="0" xfId="0" applyFont="1" applyAlignment="1">
      <alignment horizontal="left" wrapText="1"/>
    </xf>
    <xf numFmtId="0" fontId="38" fillId="0" borderId="0" xfId="0" applyFont="1" applyAlignment="1">
      <alignment horizontal="center"/>
    </xf>
    <xf numFmtId="0" fontId="28" fillId="0" borderId="0" xfId="0" applyFont="1" applyAlignment="1">
      <alignment horizontal="center" vertical="center" wrapText="1"/>
    </xf>
    <xf numFmtId="0" fontId="5" fillId="0" borderId="0" xfId="0" applyFont="1" applyAlignment="1">
      <alignment horizontal="left" vertical="top" wrapText="1"/>
    </xf>
    <xf numFmtId="0" fontId="40" fillId="0" borderId="0" xfId="0" applyFont="1" applyAlignment="1">
      <alignment horizontal="center" vertical="top" wrapText="1"/>
    </xf>
    <xf numFmtId="0" fontId="3" fillId="0" borderId="41" xfId="0" applyFont="1" applyBorder="1" applyAlignment="1">
      <alignment wrapText="1"/>
    </xf>
    <xf numFmtId="0" fontId="3" fillId="0" borderId="42" xfId="0" applyFont="1" applyBorder="1" applyAlignment="1">
      <alignment wrapText="1"/>
    </xf>
    <xf numFmtId="0" fontId="0" fillId="0" borderId="0" xfId="0" applyAlignment="1">
      <alignment horizontal="center" vertical="top" wrapText="1"/>
    </xf>
  </cellXfs>
  <cellStyles count="59">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xfId="53" builtinId="32" customBuiltin="1"/>
    <cellStyle name="60% - Accent1 2" xfId="46" xr:uid="{00000000-0005-0000-0000-00000C000000}"/>
    <cellStyle name="60% - Accent2" xfId="54" builtinId="36" customBuiltin="1"/>
    <cellStyle name="60% - Accent2 2" xfId="47" xr:uid="{00000000-0005-0000-0000-00000D000000}"/>
    <cellStyle name="60% - Accent3" xfId="55" builtinId="40" customBuiltin="1"/>
    <cellStyle name="60% - Accent3 2" xfId="48" xr:uid="{00000000-0005-0000-0000-00000E000000}"/>
    <cellStyle name="60% - Accent4" xfId="56" builtinId="44" customBuiltin="1"/>
    <cellStyle name="60% - Accent4 2" xfId="49" xr:uid="{00000000-0005-0000-0000-00000F000000}"/>
    <cellStyle name="60% - Accent5" xfId="57" builtinId="48" customBuiltin="1"/>
    <cellStyle name="60% - Accent5 2" xfId="50" xr:uid="{00000000-0005-0000-0000-000010000000}"/>
    <cellStyle name="60% - Accent6" xfId="58" builtinId="52" customBuiltin="1"/>
    <cellStyle name="60% - Accent6 2" xfId="51" xr:uid="{00000000-0005-0000-0000-000011000000}"/>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Calculation" xfId="20" builtinId="22" customBuiltin="1"/>
    <cellStyle name="Check Cell" xfId="22" builtinId="23" customBuiltin="1"/>
    <cellStyle name="Comma" xfId="4" builtinId="3"/>
    <cellStyle name="Comma 2" xfId="2" xr:uid="{00000000-0005-0000-0000-00001C000000}"/>
    <cellStyle name="Comma 3" xfId="8" xr:uid="{00000000-0005-0000-0000-00001D000000}"/>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6" builtinId="8"/>
    <cellStyle name="Hyperlink 2" xfId="9" xr:uid="{00000000-0005-0000-0000-000025000000}"/>
    <cellStyle name="Input" xfId="18" builtinId="20" customBuiltin="1"/>
    <cellStyle name="Linked Cell" xfId="21" builtinId="24" customBuiltin="1"/>
    <cellStyle name="Neutral" xfId="52" builtinId="28" customBuiltin="1"/>
    <cellStyle name="Neutral 2" xfId="45" xr:uid="{00000000-0005-0000-0000-000028000000}"/>
    <cellStyle name="Normal" xfId="0" builtinId="0"/>
    <cellStyle name="Normal 2" xfId="1" xr:uid="{00000000-0005-0000-0000-00002A000000}"/>
    <cellStyle name="Normal 2 2" xfId="3" xr:uid="{00000000-0005-0000-0000-00002B000000}"/>
    <cellStyle name="Normal 3" xfId="7" xr:uid="{00000000-0005-0000-0000-00002C000000}"/>
    <cellStyle name="Normal 4" xfId="10" xr:uid="{00000000-0005-0000-0000-00002D000000}"/>
    <cellStyle name="Note" xfId="24" builtinId="10" customBuiltin="1"/>
    <cellStyle name="Output" xfId="19" builtinId="21" customBuiltin="1"/>
    <cellStyle name="Percent" xfId="5" builtinId="5"/>
    <cellStyle name="Title" xfId="11" builtinId="15" customBuiltin="1"/>
    <cellStyle name="Total" xfId="26" builtinId="25" customBuiltin="1"/>
    <cellStyle name="Warning Text" xfId="23" builtinId="11" customBuiltin="1"/>
  </cellStyles>
  <dxfs count="1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Projections!$B$5:$AI$5</c15:sqref>
                  </c15:fullRef>
                </c:ext>
              </c:extLst>
              <c:f>Projections!$V$5:$AI$5</c:f>
              <c:numCache>
                <c:formatCode>0</c:formatCode>
                <c:ptCount val="14"/>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numCache>
            </c:numRef>
          </c:cat>
          <c:val>
            <c:numRef>
              <c:extLst>
                <c:ext xmlns:c15="http://schemas.microsoft.com/office/drawing/2012/chart" uri="{02D57815-91ED-43cb-92C2-25804820EDAC}">
                  <c15:fullRef>
                    <c15:sqref>Projections!$B$6:$X$6</c15:sqref>
                  </c15:fullRef>
                </c:ext>
              </c:extLst>
              <c:f>Projections!$V$6:$X$6</c:f>
              <c:numCache>
                <c:formatCode>General</c:formatCode>
                <c:ptCount val="3"/>
                <c:pt idx="0" formatCode="0">
                  <c:v>66800</c:v>
                </c:pt>
                <c:pt idx="1" formatCode="0">
                  <c:v>94223</c:v>
                </c:pt>
                <c:pt idx="2" formatCode="0">
                  <c:v>114376</c:v>
                </c:pt>
              </c:numCache>
            </c:numRef>
          </c:val>
          <c:smooth val="0"/>
          <c:extLst>
            <c:ext xmlns:c16="http://schemas.microsoft.com/office/drawing/2014/chart" uri="{C3380CC4-5D6E-409C-BE32-E72D297353CC}">
              <c16:uniqueId val="{00000001-2F14-4B8F-95E7-5C72581CB642}"/>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861637369022883E-2"/>
          <c:y val="5.6483132307327294E-2"/>
          <c:w val="0.95665858230902268"/>
          <c:h val="0.86197350268234274"/>
        </c:manualLayout>
      </c:layout>
      <c:lineChart>
        <c:grouping val="standard"/>
        <c:varyColors val="0"/>
        <c:ser>
          <c:idx val="0"/>
          <c:order val="0"/>
          <c:tx>
            <c:strRef>
              <c:f>Projections!$A$73</c:f>
              <c:strCache>
                <c:ptCount val="1"/>
                <c:pt idx="0">
                  <c:v>Average days per prescription DATA</c:v>
                </c:pt>
              </c:strCache>
            </c:strRef>
          </c:tx>
          <c:spPr>
            <a:ln w="28575" cap="rnd">
              <a:solidFill>
                <a:schemeClr val="accent1"/>
              </a:solidFill>
              <a:round/>
            </a:ln>
            <a:effectLst/>
          </c:spPr>
          <c:marker>
            <c:symbol val="none"/>
          </c:marker>
          <c:trendline>
            <c:spPr>
              <a:ln w="38100" cap="rnd">
                <a:solidFill>
                  <a:schemeClr val="accent4"/>
                </a:solidFill>
                <a:prstDash val="sysDot"/>
              </a:ln>
              <a:effectLst/>
            </c:spPr>
            <c:trendlineType val="log"/>
            <c:forward val="12"/>
            <c:dispRSqr val="1"/>
            <c:dispEq val="1"/>
            <c:trendlineLbl>
              <c:layout>
                <c:manualLayout>
                  <c:x val="-8.4608964287927989E-3"/>
                  <c:y val="0.27930256022719918"/>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Projections!$B$72:$W$72</c15:sqref>
                  </c15:fullRef>
                </c:ext>
              </c:extLst>
              <c:f>Projections!$U$72:$W$72</c:f>
              <c:numCache>
                <c:formatCode>General</c:formatCode>
                <c:ptCount val="3"/>
                <c:pt idx="0">
                  <c:v>2018</c:v>
                </c:pt>
                <c:pt idx="1">
                  <c:v>2019</c:v>
                </c:pt>
                <c:pt idx="2">
                  <c:v>2020</c:v>
                </c:pt>
              </c:numCache>
            </c:numRef>
          </c:cat>
          <c:val>
            <c:numRef>
              <c:extLst>
                <c:ext xmlns:c15="http://schemas.microsoft.com/office/drawing/2012/chart" uri="{02D57815-91ED-43cb-92C2-25804820EDAC}">
                  <c15:fullRef>
                    <c15:sqref>Projections!$B$73:$W$73</c15:sqref>
                  </c15:fullRef>
                </c:ext>
              </c:extLst>
              <c:f>Projections!$U$73:$W$73</c:f>
              <c:numCache>
                <c:formatCode>0.00</c:formatCode>
                <c:ptCount val="3"/>
                <c:pt idx="0">
                  <c:v>22.820446988435801</c:v>
                </c:pt>
                <c:pt idx="1">
                  <c:v>23.783843887066809</c:v>
                </c:pt>
                <c:pt idx="2">
                  <c:v>24.447631582385331</c:v>
                </c:pt>
              </c:numCache>
            </c:numRef>
          </c:val>
          <c:smooth val="0"/>
          <c:extLst>
            <c:ext xmlns:c16="http://schemas.microsoft.com/office/drawing/2014/chart" uri="{C3380CC4-5D6E-409C-BE32-E72D297353CC}">
              <c16:uniqueId val="{00000001-63AA-499F-A708-6E39EA2A08FD}"/>
            </c:ext>
          </c:extLst>
        </c:ser>
        <c:dLbls>
          <c:showLegendKey val="0"/>
          <c:showVal val="0"/>
          <c:showCatName val="0"/>
          <c:showSerName val="0"/>
          <c:showPercent val="0"/>
          <c:showBubbleSize val="0"/>
        </c:dLbls>
        <c:smooth val="0"/>
        <c:axId val="1030603423"/>
        <c:axId val="1030589279"/>
      </c:lineChart>
      <c:catAx>
        <c:axId val="103060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0589279"/>
        <c:crosses val="autoZero"/>
        <c:auto val="1"/>
        <c:lblAlgn val="ctr"/>
        <c:lblOffset val="100"/>
        <c:noMultiLvlLbl val="0"/>
      </c:catAx>
      <c:valAx>
        <c:axId val="1030589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3060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Projections!$A$79</c:f>
              <c:strCache>
                <c:ptCount val="1"/>
                <c:pt idx="0">
                  <c:v>Average MME per day DATA</c:v>
                </c:pt>
              </c:strCache>
            </c:strRef>
          </c:tx>
          <c:spPr>
            <a:ln w="28575" cap="rnd">
              <a:solidFill>
                <a:schemeClr val="accent1"/>
              </a:solidFill>
              <a:round/>
            </a:ln>
            <a:effectLst/>
          </c:spPr>
          <c:marker>
            <c:symbol val="none"/>
          </c:marker>
          <c:trendline>
            <c:spPr>
              <a:ln w="34925" cap="rnd">
                <a:solidFill>
                  <a:schemeClr val="accent2"/>
                </a:solidFill>
                <a:prstDash val="sysDot"/>
              </a:ln>
              <a:effectLst/>
            </c:spPr>
            <c:trendlineType val="log"/>
            <c:forward val="12"/>
            <c:dispRSqr val="1"/>
            <c:dispEq val="1"/>
            <c:trendlineLbl>
              <c:layout>
                <c:manualLayout>
                  <c:x val="-5.3160630012118397E-2"/>
                  <c:y val="-0.24890782220846955"/>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Projections!$B$78:$W$78</c15:sqref>
                  </c15:fullRef>
                </c:ext>
              </c:extLst>
              <c:f>Projections!$U$78:$W$78</c:f>
              <c:numCache>
                <c:formatCode>General</c:formatCode>
                <c:ptCount val="3"/>
                <c:pt idx="0">
                  <c:v>2018</c:v>
                </c:pt>
                <c:pt idx="1">
                  <c:v>2019</c:v>
                </c:pt>
                <c:pt idx="2">
                  <c:v>2020</c:v>
                </c:pt>
              </c:numCache>
            </c:numRef>
          </c:cat>
          <c:val>
            <c:numRef>
              <c:extLst>
                <c:ext xmlns:c15="http://schemas.microsoft.com/office/drawing/2012/chart" uri="{02D57815-91ED-43cb-92C2-25804820EDAC}">
                  <c15:fullRef>
                    <c15:sqref>Projections!$B$79:$W$79</c15:sqref>
                  </c15:fullRef>
                </c:ext>
              </c:extLst>
              <c:f>Projections!$U$79:$W$79</c:f>
              <c:numCache>
                <c:formatCode>0.00</c:formatCode>
                <c:ptCount val="3"/>
                <c:pt idx="0">
                  <c:v>36.400205394208072</c:v>
                </c:pt>
                <c:pt idx="1">
                  <c:v>32.734044174773409</c:v>
                </c:pt>
                <c:pt idx="2">
                  <c:v>31.29729630348751</c:v>
                </c:pt>
              </c:numCache>
            </c:numRef>
          </c:val>
          <c:smooth val="0"/>
          <c:extLst>
            <c:ext xmlns:c16="http://schemas.microsoft.com/office/drawing/2014/chart" uri="{C3380CC4-5D6E-409C-BE32-E72D297353CC}">
              <c16:uniqueId val="{00000001-CF21-4856-A14C-FBEE4BA589B8}"/>
            </c:ext>
          </c:extLst>
        </c:ser>
        <c:dLbls>
          <c:showLegendKey val="0"/>
          <c:showVal val="0"/>
          <c:showCatName val="0"/>
          <c:showSerName val="0"/>
          <c:showPercent val="0"/>
          <c:showBubbleSize val="0"/>
        </c:dLbls>
        <c:smooth val="0"/>
        <c:axId val="1271560735"/>
        <c:axId val="1271564895"/>
      </c:lineChart>
      <c:catAx>
        <c:axId val="12715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64895"/>
        <c:crosses val="autoZero"/>
        <c:auto val="1"/>
        <c:lblAlgn val="ctr"/>
        <c:lblOffset val="100"/>
        <c:noMultiLvlLbl val="0"/>
      </c:catAx>
      <c:valAx>
        <c:axId val="1271564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Projections!$A$21</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Projections!$B$20:$V$20</c15:sqref>
                  </c15:fullRef>
                </c:ext>
              </c:extLst>
              <c:f>Projections!$T$20:$V$20</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Projections!$B$21:$V$21</c15:sqref>
                  </c15:fullRef>
                </c:ext>
              </c:extLst>
              <c:f>Projections!$T$21:$V$21</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6517-4973-BBFC-C8CAAA78740B}"/>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Projections!$B$28:$W$28</c15:sqref>
                  </c15:fullRef>
                </c:ext>
              </c:extLst>
              <c:f>Projections!$T$28:$W$28</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Projections!$B$29:$W$29</c15:sqref>
                  </c15:fullRef>
                </c:ext>
              </c:extLst>
              <c:f>Projections!$T$29:$W$29</c:f>
              <c:numCache>
                <c:formatCode>0</c:formatCode>
                <c:ptCount val="4"/>
                <c:pt idx="0">
                  <c:v>916335.75439076754</c:v>
                </c:pt>
                <c:pt idx="1">
                  <c:v>1500485.9526574665</c:v>
                </c:pt>
                <c:pt idx="2">
                  <c:v>1931149</c:v>
                </c:pt>
                <c:pt idx="3">
                  <c:v>2303624</c:v>
                </c:pt>
              </c:numCache>
            </c:numRef>
          </c:val>
          <c:smooth val="0"/>
          <c:extLst>
            <c:ext xmlns:c16="http://schemas.microsoft.com/office/drawing/2014/chart" uri="{C3380CC4-5D6E-409C-BE32-E72D297353CC}">
              <c16:uniqueId val="{00000001-0CB8-4717-8B0A-A1E8CED7FC1F}"/>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Projections!$A$46</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Projections!$B$45:$W$45</c15:sqref>
                  </c15:fullRef>
                </c:ext>
              </c:extLst>
              <c:f>Projections!$V$45:$W$45</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Projections!$B$46:$W$46</c15:sqref>
                  </c15:fullRef>
                </c:ext>
              </c:extLst>
              <c:f>Projections!$V$46:$W$46</c:f>
              <c:numCache>
                <c:formatCode>General</c:formatCode>
                <c:ptCount val="2"/>
                <c:pt idx="0" formatCode="0.00000">
                  <c:v>5.5745186078936089E-2</c:v>
                </c:pt>
                <c:pt idx="1" formatCode="0.00000">
                  <c:v>4.9272336100354815E-2</c:v>
                </c:pt>
              </c:numCache>
            </c:numRef>
          </c:val>
          <c:smooth val="0"/>
          <c:extLst>
            <c:ext xmlns:c16="http://schemas.microsoft.com/office/drawing/2014/chart" uri="{C3380CC4-5D6E-409C-BE32-E72D297353CC}">
              <c16:uniqueId val="{00000001-0986-4736-BCE6-5443A880CB01}"/>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Projections!$A$53</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Projections!$B$52:$W$52</c15:sqref>
                  </c15:fullRef>
                </c:ext>
              </c:extLst>
              <c:f>Projections!$V$52:$W$52</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Projections!$B$53:$W$53</c15:sqref>
                  </c15:fullRef>
                </c:ext>
              </c:extLst>
              <c:f>Projections!$V$53:$W$53</c:f>
              <c:numCache>
                <c:formatCode>0.0</c:formatCode>
                <c:ptCount val="2"/>
                <c:pt idx="0">
                  <c:v>0.47271690770965785</c:v>
                </c:pt>
                <c:pt idx="1">
                  <c:v>0.56212888305519093</c:v>
                </c:pt>
              </c:numCache>
            </c:numRef>
          </c:val>
          <c:smooth val="0"/>
          <c:extLst>
            <c:ext xmlns:c16="http://schemas.microsoft.com/office/drawing/2014/chart" uri="{C3380CC4-5D6E-409C-BE32-E72D297353CC}">
              <c16:uniqueId val="{00000001-09E1-406E-B068-F28F1DBD3637}"/>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Projections!$A$13</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0.0000"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Projections!$B$12:$AH$12</c15:sqref>
                  </c15:fullRef>
                </c:ext>
              </c:extLst>
              <c:f>Projections!$T$12:$AH$12</c:f>
              <c:numCache>
                <c:formatCode>0</c:formatCode>
                <c:ptCount val="15"/>
                <c:pt idx="0" formatCode="General">
                  <c:v>2017</c:v>
                </c:pt>
                <c:pt idx="1" formatCode="General">
                  <c:v>2018</c:v>
                </c:pt>
                <c:pt idx="2" formatCode="General">
                  <c:v>2019</c:v>
                </c:pt>
                <c:pt idx="3" formatCode="General">
                  <c:v>2020</c:v>
                </c:pt>
                <c:pt idx="4" formatCode="General">
                  <c:v>2021</c:v>
                </c:pt>
                <c:pt idx="5" formatCode="General">
                  <c:v>2022</c:v>
                </c:pt>
                <c:pt idx="6" formatCode="General">
                  <c:v>2023</c:v>
                </c:pt>
                <c:pt idx="7" formatCode="General">
                  <c:v>2024</c:v>
                </c:pt>
                <c:pt idx="8" formatCode="General">
                  <c:v>2025</c:v>
                </c:pt>
                <c:pt idx="9" formatCode="General">
                  <c:v>2026</c:v>
                </c:pt>
                <c:pt idx="10" formatCode="General">
                  <c:v>2027</c:v>
                </c:pt>
                <c:pt idx="11" formatCode="General">
                  <c:v>2028</c:v>
                </c:pt>
                <c:pt idx="12" formatCode="General">
                  <c:v>2029</c:v>
                </c:pt>
                <c:pt idx="13" formatCode="General">
                  <c:v>2030</c:v>
                </c:pt>
                <c:pt idx="14" formatCode="General">
                  <c:v>2031</c:v>
                </c:pt>
              </c:numCache>
            </c:numRef>
          </c:cat>
          <c:val>
            <c:numRef>
              <c:extLst>
                <c:ext xmlns:c15="http://schemas.microsoft.com/office/drawing/2012/chart" uri="{02D57815-91ED-43cb-92C2-25804820EDAC}">
                  <c15:fullRef>
                    <c15:sqref>Projections!$B$13:$V$13</c15:sqref>
                  </c15:fullRef>
                </c:ext>
              </c:extLst>
              <c:f>Projections!$T$13:$V$13</c:f>
              <c:numCache>
                <c:formatCode>#,##0</c:formatCode>
                <c:ptCount val="3"/>
                <c:pt idx="0" formatCode="0">
                  <c:v>382867</c:v>
                </c:pt>
                <c:pt idx="1" formatCode="0">
                  <c:v>395708.5</c:v>
                </c:pt>
                <c:pt idx="2" formatCode="0">
                  <c:v>408550</c:v>
                </c:pt>
              </c:numCache>
            </c:numRef>
          </c:val>
          <c:smooth val="0"/>
          <c:extLst>
            <c:ext xmlns:c16="http://schemas.microsoft.com/office/drawing/2014/chart" uri="{C3380CC4-5D6E-409C-BE32-E72D297353CC}">
              <c16:uniqueId val="{00000001-60CF-412E-9F4A-4540E89E26CA}"/>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Projections!$A$38</c:f>
              <c:strCache>
                <c:ptCount val="1"/>
                <c:pt idx="0">
                  <c:v>Patients receiving opioid prescription annual IQVIA </c:v>
                </c:pt>
              </c:strCache>
            </c:strRef>
          </c:tx>
          <c:spPr>
            <a:ln w="28575" cap="rnd">
              <a:solidFill>
                <a:schemeClr val="accent1"/>
              </a:solidFill>
              <a:round/>
            </a:ln>
            <a:effectLst/>
          </c:spPr>
          <c:marker>
            <c:symbol val="none"/>
          </c:marker>
          <c:trendline>
            <c:spPr>
              <a:ln w="19050" cap="rnd">
                <a:solidFill>
                  <a:schemeClr val="accent2"/>
                </a:solidFill>
                <a:prstDash val="sysDot"/>
              </a:ln>
              <a:effectLst/>
            </c:spPr>
            <c:trendlineType val="log"/>
            <c:forward val="12"/>
            <c:dispRSqr val="1"/>
            <c:dispEq val="1"/>
            <c:trendlineLbl>
              <c:layout>
                <c:manualLayout>
                  <c:x val="1.3015409955566116E-2"/>
                  <c:y val="-0.2049549443324564"/>
                </c:manualLayout>
              </c:layout>
              <c:numFmt formatCode="#,##0.00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Projections!$B$37:$W$37</c15:sqref>
                  </c15:fullRef>
                </c:ext>
              </c:extLst>
              <c:f>Projections!$V$37:$W$37</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Projections!$B$38:$W$38</c15:sqref>
                  </c15:fullRef>
                </c:ext>
              </c:extLst>
              <c:f>Projections!$V$38:$W$38</c:f>
              <c:numCache>
                <c:formatCode>0</c:formatCode>
                <c:ptCount val="2"/>
                <c:pt idx="0">
                  <c:v>45900215</c:v>
                </c:pt>
                <c:pt idx="1">
                  <c:v>41264730</c:v>
                </c:pt>
              </c:numCache>
            </c:numRef>
          </c:val>
          <c:smooth val="0"/>
          <c:extLst>
            <c:ext xmlns:c16="http://schemas.microsoft.com/office/drawing/2014/chart" uri="{C3380CC4-5D6E-409C-BE32-E72D297353CC}">
              <c16:uniqueId val="{00000001-D412-4348-AA9D-566462830A5A}"/>
            </c:ext>
          </c:extLst>
        </c:ser>
        <c:dLbls>
          <c:showLegendKey val="0"/>
          <c:showVal val="0"/>
          <c:showCatName val="0"/>
          <c:showSerName val="0"/>
          <c:showPercent val="0"/>
          <c:showBubbleSize val="0"/>
        </c:dLbls>
        <c:smooth val="0"/>
        <c:axId val="993031744"/>
        <c:axId val="397554528"/>
      </c:lineChart>
      <c:catAx>
        <c:axId val="9930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54528"/>
        <c:crosses val="autoZero"/>
        <c:auto val="1"/>
        <c:lblAlgn val="ctr"/>
        <c:lblOffset val="100"/>
        <c:noMultiLvlLbl val="0"/>
      </c:catAx>
      <c:valAx>
        <c:axId val="39755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3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Fentanyl penetration curve NFLIS NEW</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Projections!$P$59:$X$59</c15:sqref>
                  </c15:fullRef>
                </c:ext>
              </c:extLst>
              <c:f>Projections!$W$59:$X$59</c:f>
              <c:numCache>
                <c:formatCode>General</c:formatCode>
                <c:ptCount val="2"/>
                <c:pt idx="0">
                  <c:v>2020</c:v>
                </c:pt>
                <c:pt idx="1">
                  <c:v>2021</c:v>
                </c:pt>
              </c:numCache>
            </c:numRef>
          </c:cat>
          <c:val>
            <c:numRef>
              <c:extLst>
                <c:ext xmlns:c15="http://schemas.microsoft.com/office/drawing/2012/chart" uri="{02D57815-91ED-43cb-92C2-25804820EDAC}">
                  <c15:fullRef>
                    <c15:sqref>Projections!$P$60:$X$60</c15:sqref>
                  </c15:fullRef>
                </c:ext>
              </c:extLst>
              <c:f>Projections!$W$60:$X$60</c:f>
              <c:numCache>
                <c:formatCode>0.00</c:formatCode>
                <c:ptCount val="2"/>
                <c:pt idx="0">
                  <c:v>0.56212888305519093</c:v>
                </c:pt>
                <c:pt idx="1">
                  <c:v>0.69757016049493414</c:v>
                </c:pt>
              </c:numCache>
            </c:numRef>
          </c:val>
          <c:smooth val="0"/>
          <c:extLst>
            <c:ext xmlns:c16="http://schemas.microsoft.com/office/drawing/2014/chart" uri="{C3380CC4-5D6E-409C-BE32-E72D297353CC}">
              <c16:uniqueId val="{00000001-3A32-465C-91B7-143A7551E9C3}"/>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Projections!$A$67</c:f>
              <c:strCache>
                <c:ptCount val="1"/>
                <c:pt idx="0">
                  <c:v>Prescriptions per person DATA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4788451583147156E-2"/>
                  <c:y val="-0.1867099933498579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Projections!$B$66:$W$66</c15:sqref>
                  </c15:fullRef>
                </c:ext>
              </c:extLst>
              <c:f>Projections!$R$66:$V$66</c:f>
              <c:numCache>
                <c:formatCode>General</c:formatCode>
                <c:ptCount val="5"/>
                <c:pt idx="0">
                  <c:v>2015</c:v>
                </c:pt>
                <c:pt idx="1">
                  <c:v>2016</c:v>
                </c:pt>
                <c:pt idx="2">
                  <c:v>2017</c:v>
                </c:pt>
                <c:pt idx="3">
                  <c:v>2018</c:v>
                </c:pt>
                <c:pt idx="4">
                  <c:v>2019</c:v>
                </c:pt>
              </c:numCache>
            </c:numRef>
          </c:cat>
          <c:val>
            <c:numRef>
              <c:extLst>
                <c:ext xmlns:c15="http://schemas.microsoft.com/office/drawing/2012/chart" uri="{02D57815-91ED-43cb-92C2-25804820EDAC}">
                  <c15:fullRef>
                    <c15:sqref>Projections!$B$67:$W$67</c15:sqref>
                  </c15:fullRef>
                </c:ext>
              </c:extLst>
              <c:f>Projections!$R$67:$V$67</c:f>
              <c:numCache>
                <c:formatCode>0.00</c:formatCode>
                <c:ptCount val="5"/>
                <c:pt idx="0">
                  <c:v>3.4149696629683022</c:v>
                </c:pt>
                <c:pt idx="1">
                  <c:v>3.3607663527039389</c:v>
                </c:pt>
                <c:pt idx="2">
                  <c:v>3.3675884953983641</c:v>
                </c:pt>
                <c:pt idx="3">
                  <c:v>3.3406557271816451</c:v>
                </c:pt>
                <c:pt idx="4">
                  <c:v>3.3694461045673512</c:v>
                </c:pt>
              </c:numCache>
            </c:numRef>
          </c:val>
          <c:smooth val="0"/>
          <c:extLst>
            <c:ext xmlns:c16="http://schemas.microsoft.com/office/drawing/2014/chart" uri="{C3380CC4-5D6E-409C-BE32-E72D297353CC}">
              <c16:uniqueId val="{00000001-4AF8-4C13-919D-46FA69E1D019}"/>
            </c:ext>
          </c:extLst>
        </c:ser>
        <c:dLbls>
          <c:showLegendKey val="0"/>
          <c:showVal val="0"/>
          <c:showCatName val="0"/>
          <c:showSerName val="0"/>
          <c:showPercent val="0"/>
          <c:showBubbleSize val="0"/>
        </c:dLbls>
        <c:smooth val="0"/>
        <c:axId val="1030628383"/>
        <c:axId val="1030608415"/>
      </c:lineChart>
      <c:catAx>
        <c:axId val="10306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08415"/>
        <c:crosses val="autoZero"/>
        <c:auto val="1"/>
        <c:lblAlgn val="ctr"/>
        <c:lblOffset val="100"/>
        <c:noMultiLvlLbl val="0"/>
      </c:catAx>
      <c:valAx>
        <c:axId val="1030608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2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35</xdr:col>
      <xdr:colOff>362175</xdr:colOff>
      <xdr:row>2</xdr:row>
      <xdr:rowOff>134135</xdr:rowOff>
    </xdr:from>
    <xdr:to>
      <xdr:col>42</xdr:col>
      <xdr:colOff>313765</xdr:colOff>
      <xdr:row>10</xdr:row>
      <xdr:rowOff>11206</xdr:rowOff>
    </xdr:to>
    <xdr:graphicFrame macro="">
      <xdr:nvGraphicFramePr>
        <xdr:cNvPr id="2" name="Chart 2">
          <a:extLst>
            <a:ext uri="{FF2B5EF4-FFF2-40B4-BE49-F238E27FC236}">
              <a16:creationId xmlns:a16="http://schemas.microsoft.com/office/drawing/2014/main" id="{9090D0B9-58D1-4721-ADE0-4FEC9DE9E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425822</xdr:colOff>
      <xdr:row>18</xdr:row>
      <xdr:rowOff>135448</xdr:rowOff>
    </xdr:from>
    <xdr:to>
      <xdr:col>41</xdr:col>
      <xdr:colOff>247649</xdr:colOff>
      <xdr:row>24</xdr:row>
      <xdr:rowOff>44824</xdr:rowOff>
    </xdr:to>
    <xdr:graphicFrame macro="">
      <xdr:nvGraphicFramePr>
        <xdr:cNvPr id="3" name="Chart 2">
          <a:extLst>
            <a:ext uri="{FF2B5EF4-FFF2-40B4-BE49-F238E27FC236}">
              <a16:creationId xmlns:a16="http://schemas.microsoft.com/office/drawing/2014/main" id="{0ACB951A-E689-436B-85F6-22CAB0E92990}"/>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373042</xdr:colOff>
      <xdr:row>26</xdr:row>
      <xdr:rowOff>1616</xdr:rowOff>
    </xdr:from>
    <xdr:to>
      <xdr:col>42</xdr:col>
      <xdr:colOff>83930</xdr:colOff>
      <xdr:row>33</xdr:row>
      <xdr:rowOff>50538</xdr:rowOff>
    </xdr:to>
    <xdr:graphicFrame macro="">
      <xdr:nvGraphicFramePr>
        <xdr:cNvPr id="4" name="Chart 3">
          <a:extLst>
            <a:ext uri="{FF2B5EF4-FFF2-40B4-BE49-F238E27FC236}">
              <a16:creationId xmlns:a16="http://schemas.microsoft.com/office/drawing/2014/main" id="{32BCB2A5-E434-4B05-A0CF-7581E7BD3415}"/>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788670</xdr:colOff>
      <xdr:row>42</xdr:row>
      <xdr:rowOff>152400</xdr:rowOff>
    </xdr:from>
    <xdr:to>
      <xdr:col>39</xdr:col>
      <xdr:colOff>323850</xdr:colOff>
      <xdr:row>49</xdr:row>
      <xdr:rowOff>123824</xdr:rowOff>
    </xdr:to>
    <xdr:graphicFrame macro="">
      <xdr:nvGraphicFramePr>
        <xdr:cNvPr id="5" name="Chart 4">
          <a:extLst>
            <a:ext uri="{FF2B5EF4-FFF2-40B4-BE49-F238E27FC236}">
              <a16:creationId xmlns:a16="http://schemas.microsoft.com/office/drawing/2014/main" id="{FE327335-B21A-4203-8B03-861863DB35F6}"/>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44824</xdr:colOff>
      <xdr:row>50</xdr:row>
      <xdr:rowOff>98167</xdr:rowOff>
    </xdr:from>
    <xdr:to>
      <xdr:col>39</xdr:col>
      <xdr:colOff>649941</xdr:colOff>
      <xdr:row>56</xdr:row>
      <xdr:rowOff>44823</xdr:rowOff>
    </xdr:to>
    <xdr:graphicFrame macro="">
      <xdr:nvGraphicFramePr>
        <xdr:cNvPr id="6" name="Chart 5">
          <a:extLst>
            <a:ext uri="{FF2B5EF4-FFF2-40B4-BE49-F238E27FC236}">
              <a16:creationId xmlns:a16="http://schemas.microsoft.com/office/drawing/2014/main" id="{AD7230BD-C45E-4645-B2B1-891676D6AE40}"/>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266811</xdr:colOff>
      <xdr:row>11</xdr:row>
      <xdr:rowOff>23371</xdr:rowOff>
    </xdr:from>
    <xdr:to>
      <xdr:col>41</xdr:col>
      <xdr:colOff>313765</xdr:colOff>
      <xdr:row>17</xdr:row>
      <xdr:rowOff>20506</xdr:rowOff>
    </xdr:to>
    <xdr:graphicFrame macro="">
      <xdr:nvGraphicFramePr>
        <xdr:cNvPr id="7" name="Chart 14">
          <a:extLst>
            <a:ext uri="{FF2B5EF4-FFF2-40B4-BE49-F238E27FC236}">
              <a16:creationId xmlns:a16="http://schemas.microsoft.com/office/drawing/2014/main" id="{B03B2BFF-59A0-4021-8A24-E21C5E711A5A}"/>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648993</xdr:colOff>
      <xdr:row>34</xdr:row>
      <xdr:rowOff>132495</xdr:rowOff>
    </xdr:from>
    <xdr:to>
      <xdr:col>41</xdr:col>
      <xdr:colOff>239692</xdr:colOff>
      <xdr:row>41</xdr:row>
      <xdr:rowOff>141959</xdr:rowOff>
    </xdr:to>
    <xdr:graphicFrame macro="">
      <xdr:nvGraphicFramePr>
        <xdr:cNvPr id="8" name="Chart 7">
          <a:extLst>
            <a:ext uri="{FF2B5EF4-FFF2-40B4-BE49-F238E27FC236}">
              <a16:creationId xmlns:a16="http://schemas.microsoft.com/office/drawing/2014/main" id="{C5A26C35-B10C-462C-9389-29F9824F4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704066</xdr:colOff>
      <xdr:row>57</xdr:row>
      <xdr:rowOff>105112</xdr:rowOff>
    </xdr:from>
    <xdr:to>
      <xdr:col>39</xdr:col>
      <xdr:colOff>347383</xdr:colOff>
      <xdr:row>63</xdr:row>
      <xdr:rowOff>44825</xdr:rowOff>
    </xdr:to>
    <xdr:graphicFrame macro="">
      <xdr:nvGraphicFramePr>
        <xdr:cNvPr id="9" name="Chart 8">
          <a:extLst>
            <a:ext uri="{FF2B5EF4-FFF2-40B4-BE49-F238E27FC236}">
              <a16:creationId xmlns:a16="http://schemas.microsoft.com/office/drawing/2014/main" id="{74E92089-5228-409C-9C2C-FD157639B714}"/>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493059</xdr:colOff>
      <xdr:row>64</xdr:row>
      <xdr:rowOff>34963</xdr:rowOff>
    </xdr:from>
    <xdr:to>
      <xdr:col>41</xdr:col>
      <xdr:colOff>557893</xdr:colOff>
      <xdr:row>71</xdr:row>
      <xdr:rowOff>13607</xdr:rowOff>
    </xdr:to>
    <xdr:graphicFrame macro="">
      <xdr:nvGraphicFramePr>
        <xdr:cNvPr id="10" name="Chart 9">
          <a:extLst>
            <a:ext uri="{FF2B5EF4-FFF2-40B4-BE49-F238E27FC236}">
              <a16:creationId xmlns:a16="http://schemas.microsoft.com/office/drawing/2014/main" id="{0F89821F-FA66-4769-8588-56A0E0498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544287</xdr:colOff>
      <xdr:row>71</xdr:row>
      <xdr:rowOff>173240</xdr:rowOff>
    </xdr:from>
    <xdr:to>
      <xdr:col>41</xdr:col>
      <xdr:colOff>7620</xdr:colOff>
      <xdr:row>78</xdr:row>
      <xdr:rowOff>244928</xdr:rowOff>
    </xdr:to>
    <xdr:graphicFrame macro="">
      <xdr:nvGraphicFramePr>
        <xdr:cNvPr id="11" name="Chart 10">
          <a:extLst>
            <a:ext uri="{FF2B5EF4-FFF2-40B4-BE49-F238E27FC236}">
              <a16:creationId xmlns:a16="http://schemas.microsoft.com/office/drawing/2014/main" id="{C413D416-9B55-4D8E-9D78-4AEB5DF34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300543</xdr:colOff>
      <xdr:row>78</xdr:row>
      <xdr:rowOff>441688</xdr:rowOff>
    </xdr:from>
    <xdr:to>
      <xdr:col>43</xdr:col>
      <xdr:colOff>78746</xdr:colOff>
      <xdr:row>95</xdr:row>
      <xdr:rowOff>123680</xdr:rowOff>
    </xdr:to>
    <xdr:graphicFrame macro="">
      <xdr:nvGraphicFramePr>
        <xdr:cNvPr id="12" name="Chart 11">
          <a:extLst>
            <a:ext uri="{FF2B5EF4-FFF2-40B4-BE49-F238E27FC236}">
              <a16:creationId xmlns:a16="http://schemas.microsoft.com/office/drawing/2014/main" id="{4F44BD65-F215-4080-83C6-A696FB71C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Modeling%20files/Documentation%20Files/nx%20update%20Combined%20modeling%20files%20update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6" displayName="Table6" ref="A36:U42" totalsRowShown="0">
  <autoFilter ref="A36:U42"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00000000-0010-0000-0000-000001000000}" name="Calendar year"/>
    <tableColumn id="19" xr3:uid="{00000000-0010-0000-0000-000013000000}" name="RDAS Variables Used" dataDxfId="18"/>
    <tableColumn id="2" xr3:uid="{00000000-0010-0000-0000-000002000000}" name="2002"/>
    <tableColumn id="3" xr3:uid="{00000000-0010-0000-0000-000003000000}" name="2003" dataDxfId="17"/>
    <tableColumn id="4" xr3:uid="{00000000-0010-0000-0000-000004000000}" name="2004" dataDxfId="16"/>
    <tableColumn id="5" xr3:uid="{00000000-0010-0000-0000-000005000000}" name="2005" dataDxfId="15"/>
    <tableColumn id="6" xr3:uid="{00000000-0010-0000-0000-000006000000}" name="2006" dataDxfId="14"/>
    <tableColumn id="7" xr3:uid="{00000000-0010-0000-0000-000007000000}" name="2007" dataDxfId="13"/>
    <tableColumn id="8" xr3:uid="{00000000-0010-0000-0000-000008000000}" name="2008" dataDxfId="12"/>
    <tableColumn id="9" xr3:uid="{00000000-0010-0000-0000-000009000000}" name="2009" dataDxfId="11"/>
    <tableColumn id="10" xr3:uid="{00000000-0010-0000-0000-00000A000000}" name="2010" dataDxfId="10"/>
    <tableColumn id="11" xr3:uid="{00000000-0010-0000-0000-00000B000000}" name="2011" dataDxfId="9"/>
    <tableColumn id="12" xr3:uid="{00000000-0010-0000-0000-00000C000000}" name="2012" dataDxfId="8"/>
    <tableColumn id="13" xr3:uid="{00000000-0010-0000-0000-00000D000000}" name="2013" dataDxfId="7"/>
    <tableColumn id="14" xr3:uid="{00000000-0010-0000-0000-00000E000000}" name="2014" dataDxfId="6"/>
    <tableColumn id="15" xr3:uid="{00000000-0010-0000-0000-00000F000000}" name="2015" dataDxfId="5"/>
    <tableColumn id="16" xr3:uid="{00000000-0010-0000-0000-000010000000}" name="2016" dataDxfId="4"/>
    <tableColumn id="17" xr3:uid="{00000000-0010-0000-0000-000011000000}" name="2017" dataDxfId="3"/>
    <tableColumn id="18" xr3:uid="{00000000-0010-0000-0000-000012000000}" name="2018" dataDxfId="2"/>
    <tableColumn id="20" xr3:uid="{00000000-0010-0000-0000-000014000000}" name="2019" dataDxfId="1"/>
    <tableColumn id="21" xr3:uid="{BD92BB31-57F1-43F8-A7E2-7EE144F0BC0B}" name="202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unodc.un.org/drugs/heroin_and_cocaine_prices_in_eu_and_usa-201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samhsa.gov/data/sites/default/files/reports/rpt35341/2020NSDUHsaeMethodology112421/NSDUHsaeMethodology2020.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pubmed/170882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amhsa.gov/medication-assisted-treatment/practitioner-resources/DATA-program-dat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dasis.samhsa.gov/dasis2/nssats/NSSATS_2019/2019-NSSATS-R.pdf" TargetMode="External"/><Relationship Id="rId1" Type="http://schemas.openxmlformats.org/officeDocument/2006/relationships/hyperlink" Target="https://www.samhsa.gov/data/sites/default/files/report_3192/ShortReport-319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nflis.deadiversion.usdoj.gov/nflisdata/docs/NFLIS_Snapshot_092021.pdf" TargetMode="External"/><Relationship Id="rId2" Type="http://schemas.openxmlformats.org/officeDocument/2006/relationships/hyperlink" Target="../../../../../../erins/OneDrive/Desktop/2020NFLISWebsiteTable1.pdf" TargetMode="External"/><Relationship Id="rId1" Type="http://schemas.openxmlformats.org/officeDocument/2006/relationships/hyperlink" Target="https://www.nflis.deadiversion.usdoj.gov/nflisdata/docs/NFLIS_Snapshot_062021.pdf"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ColWidth="8.7109375" defaultRowHeight="15" x14ac:dyDescent="0.25"/>
  <cols>
    <col min="1" max="1" width="33.140625" customWidth="1"/>
    <col min="2" max="2" width="14.28515625" bestFit="1" customWidth="1"/>
    <col min="3" max="3" width="14" customWidth="1"/>
    <col min="4" max="4" width="11.42578125" customWidth="1"/>
    <col min="5" max="5" width="13.42578125" customWidth="1"/>
    <col min="6" max="6" width="13.7109375" style="48" bestFit="1" customWidth="1"/>
    <col min="7" max="7" width="12.7109375" bestFit="1" customWidth="1"/>
    <col min="8" max="9" width="13.140625" bestFit="1" customWidth="1"/>
    <col min="10" max="21" width="14.140625" bestFit="1" customWidth="1"/>
    <col min="22" max="23" width="11.42578125" customWidth="1"/>
    <col min="24" max="24" width="17.7109375" customWidth="1"/>
  </cols>
  <sheetData>
    <row r="1" spans="1:33" ht="15.4" customHeight="1" x14ac:dyDescent="0.25">
      <c r="B1" s="153">
        <v>1999</v>
      </c>
      <c r="C1" s="153">
        <v>2000</v>
      </c>
      <c r="D1" s="153">
        <v>2001</v>
      </c>
      <c r="E1" s="153">
        <v>2002</v>
      </c>
      <c r="F1" s="153">
        <v>2003</v>
      </c>
      <c r="G1" s="153">
        <v>2004</v>
      </c>
      <c r="H1" s="153">
        <v>2005</v>
      </c>
      <c r="I1" s="153">
        <v>2006</v>
      </c>
      <c r="J1" s="153">
        <v>2007</v>
      </c>
      <c r="K1" s="153">
        <v>2008</v>
      </c>
      <c r="L1" s="153">
        <v>2009</v>
      </c>
      <c r="M1" s="153">
        <v>2010</v>
      </c>
      <c r="N1" s="153">
        <v>2011</v>
      </c>
      <c r="O1" s="153">
        <v>2012</v>
      </c>
      <c r="P1" s="153">
        <v>2013</v>
      </c>
      <c r="Q1" s="153">
        <v>2014</v>
      </c>
      <c r="R1" s="153">
        <v>2015</v>
      </c>
      <c r="S1" s="153">
        <v>2016</v>
      </c>
      <c r="T1" s="153">
        <v>2017</v>
      </c>
      <c r="U1" s="153">
        <v>2018</v>
      </c>
      <c r="V1" s="153">
        <v>2019</v>
      </c>
      <c r="W1" s="447">
        <v>2020</v>
      </c>
      <c r="Y1" s="189"/>
      <c r="Z1" s="189"/>
      <c r="AA1" s="189"/>
      <c r="AB1" s="189"/>
      <c r="AC1" s="189"/>
      <c r="AD1" s="189"/>
      <c r="AE1" s="189"/>
      <c r="AF1" s="189"/>
      <c r="AG1" s="189"/>
    </row>
    <row r="2" spans="1:33" ht="15" customHeight="1" x14ac:dyDescent="0.25">
      <c r="A2" s="25" t="s">
        <v>23</v>
      </c>
      <c r="B2" s="238">
        <f t="shared" ref="B2:U2" si="0">B13</f>
        <v>1</v>
      </c>
      <c r="C2" s="238">
        <f t="shared" si="0"/>
        <v>1.0189873417721518</v>
      </c>
      <c r="D2" s="238">
        <f t="shared" si="0"/>
        <v>1.0126582278481011</v>
      </c>
      <c r="E2" s="238">
        <f t="shared" si="0"/>
        <v>0.84810126582278467</v>
      </c>
      <c r="F2" s="238">
        <f t="shared" si="0"/>
        <v>0.911392405063291</v>
      </c>
      <c r="G2" s="238">
        <f t="shared" si="0"/>
        <v>0.87341772151898711</v>
      </c>
      <c r="H2" s="238">
        <f t="shared" si="0"/>
        <v>0.73417721518987333</v>
      </c>
      <c r="I2" s="238">
        <f t="shared" si="0"/>
        <v>0.79746835443037967</v>
      </c>
      <c r="J2" s="238">
        <f t="shared" si="0"/>
        <v>0.75949367088607578</v>
      </c>
      <c r="K2" s="238">
        <f t="shared" si="0"/>
        <v>0.67508342898975227</v>
      </c>
      <c r="L2" s="238">
        <f t="shared" si="0"/>
        <v>0.63912403433134313</v>
      </c>
      <c r="M2" s="238">
        <f t="shared" si="0"/>
        <v>0.68155104608997696</v>
      </c>
      <c r="N2" s="238">
        <f t="shared" si="0"/>
        <v>0.55807193051922732</v>
      </c>
      <c r="O2" s="238">
        <f t="shared" si="0"/>
        <v>0.58762341031513299</v>
      </c>
      <c r="P2" s="238">
        <f t="shared" si="0"/>
        <v>0.61868481534488862</v>
      </c>
      <c r="Q2" s="238">
        <f t="shared" si="0"/>
        <v>0.63840490057622423</v>
      </c>
      <c r="R2" s="238">
        <f t="shared" si="0"/>
        <v>0.53710456478497337</v>
      </c>
      <c r="S2" s="238">
        <f t="shared" si="0"/>
        <v>0.49148325773305634</v>
      </c>
      <c r="T2" s="238">
        <f t="shared" si="0"/>
        <v>0.48122409738713223</v>
      </c>
      <c r="U2" s="238">
        <f t="shared" si="0"/>
        <v>0.48724244386974552</v>
      </c>
      <c r="V2" s="441">
        <v>0.48724244386974552</v>
      </c>
      <c r="W2" s="448"/>
      <c r="X2" s="189"/>
      <c r="Y2" s="189"/>
      <c r="Z2" s="189"/>
      <c r="AA2" s="189"/>
      <c r="AB2" s="189"/>
      <c r="AC2" s="189"/>
      <c r="AD2" s="189"/>
      <c r="AE2" s="189"/>
      <c r="AF2" s="189"/>
      <c r="AG2" s="189"/>
    </row>
    <row r="3" spans="1:33" s="29" customFormat="1" ht="14.65" customHeight="1" x14ac:dyDescent="0.25"/>
    <row r="4" spans="1:33" s="29" customFormat="1" ht="14.65" customHeight="1" x14ac:dyDescent="0.25"/>
    <row r="5" spans="1:33" x14ac:dyDescent="0.25">
      <c r="A5" s="29"/>
      <c r="B5" s="29"/>
      <c r="C5" s="29"/>
      <c r="D5" s="29"/>
      <c r="F5"/>
      <c r="V5" s="48"/>
      <c r="W5" s="448"/>
      <c r="X5" s="189"/>
      <c r="Y5" s="189"/>
      <c r="Z5" s="189"/>
      <c r="AA5" s="189"/>
      <c r="AB5" s="189"/>
      <c r="AC5" s="189"/>
      <c r="AD5" s="189"/>
      <c r="AE5" s="189"/>
      <c r="AF5" s="189"/>
      <c r="AG5" s="189"/>
    </row>
    <row r="6" spans="1:33" s="48" customFormat="1" ht="63" x14ac:dyDescent="0.25">
      <c r="A6" s="153" t="s">
        <v>24</v>
      </c>
      <c r="B6" s="153">
        <v>1999</v>
      </c>
      <c r="C6" s="153">
        <v>2000</v>
      </c>
      <c r="D6" s="153">
        <v>2001</v>
      </c>
      <c r="E6" s="153">
        <v>2002</v>
      </c>
      <c r="F6" s="153">
        <v>2003</v>
      </c>
      <c r="G6" s="153">
        <v>2004</v>
      </c>
      <c r="H6" s="153">
        <v>2005</v>
      </c>
      <c r="I6" s="153">
        <v>2006</v>
      </c>
      <c r="J6" s="153">
        <v>2007</v>
      </c>
      <c r="K6" s="153">
        <v>2008</v>
      </c>
      <c r="L6" s="153">
        <v>2009</v>
      </c>
      <c r="M6" s="153">
        <v>2010</v>
      </c>
      <c r="N6" s="153">
        <v>2011</v>
      </c>
      <c r="O6" s="153">
        <v>2012</v>
      </c>
      <c r="P6" s="153">
        <v>2013</v>
      </c>
      <c r="Q6" s="153">
        <v>2014</v>
      </c>
      <c r="R6" s="153">
        <v>2015</v>
      </c>
      <c r="S6" s="153">
        <v>2016</v>
      </c>
      <c r="T6" s="153">
        <v>2017</v>
      </c>
      <c r="U6" s="153">
        <v>2018</v>
      </c>
      <c r="V6" s="153">
        <v>2019</v>
      </c>
      <c r="W6" s="153"/>
      <c r="X6" s="153" t="s">
        <v>25</v>
      </c>
      <c r="Y6" s="188" t="s">
        <v>26</v>
      </c>
    </row>
    <row r="7" spans="1:33" ht="29.25" x14ac:dyDescent="0.25">
      <c r="A7" s="320" t="s">
        <v>27</v>
      </c>
      <c r="B7" s="316">
        <v>0.79</v>
      </c>
      <c r="C7" s="316">
        <v>0.80500000000000005</v>
      </c>
      <c r="D7" s="316">
        <v>0.8</v>
      </c>
      <c r="E7" s="155">
        <v>0.67</v>
      </c>
      <c r="F7" s="155">
        <v>0.72</v>
      </c>
      <c r="G7" s="155">
        <v>0.69</v>
      </c>
      <c r="H7" s="155">
        <v>0.57999999999999996</v>
      </c>
      <c r="I7" s="155">
        <v>0.63</v>
      </c>
      <c r="J7" s="241">
        <v>0.6</v>
      </c>
      <c r="K7" s="241">
        <v>0.6</v>
      </c>
      <c r="L7" s="155">
        <v>0.48</v>
      </c>
      <c r="M7" s="155">
        <v>0.55000000000000004</v>
      </c>
      <c r="N7" s="155">
        <v>0.45</v>
      </c>
      <c r="O7" s="155"/>
      <c r="P7" s="155">
        <v>0.52</v>
      </c>
      <c r="Q7" s="155"/>
      <c r="R7" s="155">
        <v>0.41</v>
      </c>
      <c r="S7" s="156"/>
      <c r="T7" s="156"/>
      <c r="U7" s="210"/>
      <c r="X7" s="211" t="s">
        <v>28</v>
      </c>
      <c r="Y7" s="212" t="s">
        <v>29</v>
      </c>
    </row>
    <row r="8" spans="1:33" ht="29.25" x14ac:dyDescent="0.25">
      <c r="A8" s="321" t="s">
        <v>30</v>
      </c>
      <c r="B8" s="317">
        <f t="shared" ref="B8:N8" si="1">B7/$J$7</f>
        <v>1.3166666666666669</v>
      </c>
      <c r="C8" s="317">
        <f t="shared" si="1"/>
        <v>1.3416666666666668</v>
      </c>
      <c r="D8" s="317">
        <f t="shared" si="1"/>
        <v>1.3333333333333335</v>
      </c>
      <c r="E8" s="317">
        <f t="shared" si="1"/>
        <v>1.1166666666666667</v>
      </c>
      <c r="F8" s="317">
        <f t="shared" si="1"/>
        <v>1.2</v>
      </c>
      <c r="G8" s="317">
        <f t="shared" si="1"/>
        <v>1.1499999999999999</v>
      </c>
      <c r="H8" s="317">
        <f t="shared" si="1"/>
        <v>0.96666666666666667</v>
      </c>
      <c r="I8" s="317">
        <f t="shared" si="1"/>
        <v>1.05</v>
      </c>
      <c r="J8" s="317">
        <f t="shared" si="1"/>
        <v>1</v>
      </c>
      <c r="K8" s="317">
        <f t="shared" si="1"/>
        <v>1</v>
      </c>
      <c r="L8" s="317">
        <f t="shared" si="1"/>
        <v>0.8</v>
      </c>
      <c r="M8" s="317">
        <f t="shared" si="1"/>
        <v>0.91666666666666674</v>
      </c>
      <c r="N8" s="317">
        <f t="shared" si="1"/>
        <v>0.75</v>
      </c>
      <c r="O8" s="317"/>
      <c r="P8" s="317">
        <f>P7/$J$7</f>
        <v>0.8666666666666667</v>
      </c>
      <c r="Q8" s="317"/>
      <c r="R8" s="317">
        <f>R7/$J$7</f>
        <v>0.68333333333333335</v>
      </c>
      <c r="S8" s="240"/>
      <c r="T8" s="240"/>
      <c r="U8" s="238"/>
      <c r="X8" s="211"/>
      <c r="Y8" s="212" t="s">
        <v>31</v>
      </c>
    </row>
    <row r="9" spans="1:33" ht="39" customHeight="1" x14ac:dyDescent="0.25">
      <c r="A9" s="320" t="s">
        <v>32</v>
      </c>
      <c r="B9" s="154"/>
      <c r="C9" s="154"/>
      <c r="D9" s="154"/>
      <c r="E9" s="241"/>
      <c r="F9" s="241"/>
      <c r="G9" s="241"/>
      <c r="H9" s="241"/>
      <c r="I9" s="241"/>
      <c r="J9" s="243">
        <v>84173</v>
      </c>
      <c r="K9" s="243">
        <v>65463</v>
      </c>
      <c r="L9" s="243">
        <v>74327</v>
      </c>
      <c r="M9" s="243">
        <v>73911</v>
      </c>
      <c r="N9" s="243">
        <v>60570</v>
      </c>
      <c r="O9" s="243">
        <v>65125</v>
      </c>
      <c r="P9" s="243">
        <v>64185</v>
      </c>
      <c r="Q9" s="243">
        <v>70753</v>
      </c>
      <c r="R9" s="243">
        <v>61534</v>
      </c>
      <c r="S9" s="243">
        <v>54470</v>
      </c>
      <c r="T9" s="243">
        <v>53333</v>
      </c>
      <c r="U9" s="243">
        <v>54000</v>
      </c>
      <c r="V9" s="211">
        <f>AVERAGE(16000,60000)</f>
        <v>38000</v>
      </c>
      <c r="W9" s="211"/>
      <c r="X9" s="322" t="s">
        <v>33</v>
      </c>
      <c r="Y9" s="212" t="s">
        <v>34</v>
      </c>
    </row>
    <row r="10" spans="1:33" ht="29.25" x14ac:dyDescent="0.25">
      <c r="A10" s="321" t="s">
        <v>35</v>
      </c>
      <c r="B10" s="157"/>
      <c r="C10" s="157"/>
      <c r="D10" s="157"/>
      <c r="E10" s="242"/>
      <c r="F10" s="242"/>
      <c r="G10" s="242"/>
      <c r="H10" s="242"/>
      <c r="I10" s="242"/>
      <c r="J10" s="242">
        <f t="shared" ref="J10:V10" si="2">J9/$J$9</f>
        <v>1</v>
      </c>
      <c r="K10" s="242">
        <f t="shared" si="2"/>
        <v>0.77771969633968141</v>
      </c>
      <c r="L10" s="242">
        <f t="shared" si="2"/>
        <v>0.88302662373920382</v>
      </c>
      <c r="M10" s="242">
        <f t="shared" si="2"/>
        <v>0.87808442137027309</v>
      </c>
      <c r="N10" s="242">
        <f t="shared" si="2"/>
        <v>0.71958941703396573</v>
      </c>
      <c r="O10" s="242">
        <f t="shared" si="2"/>
        <v>0.77370415691492522</v>
      </c>
      <c r="P10" s="242">
        <f t="shared" si="2"/>
        <v>0.76253668040820688</v>
      </c>
      <c r="Q10" s="242">
        <f t="shared" si="2"/>
        <v>0.8405664524253621</v>
      </c>
      <c r="R10" s="242">
        <f t="shared" si="2"/>
        <v>0.73104202060043011</v>
      </c>
      <c r="S10" s="242">
        <f t="shared" si="2"/>
        <v>0.64711962268185763</v>
      </c>
      <c r="T10" s="242">
        <f t="shared" si="2"/>
        <v>0.63361172822639089</v>
      </c>
      <c r="U10" s="242">
        <f t="shared" si="2"/>
        <v>0.6415358844284984</v>
      </c>
      <c r="V10" s="242">
        <f t="shared" si="2"/>
        <v>0.45145117793116557</v>
      </c>
      <c r="W10" s="212"/>
      <c r="X10" s="211"/>
      <c r="Y10" s="212" t="s">
        <v>36</v>
      </c>
    </row>
    <row r="11" spans="1:33" ht="29.25" x14ac:dyDescent="0.25">
      <c r="A11" s="320" t="s">
        <v>37</v>
      </c>
      <c r="B11" s="319">
        <f t="shared" ref="B11:V11" si="3">AVERAGE(B8,B10)</f>
        <v>1.3166666666666669</v>
      </c>
      <c r="C11" s="319">
        <f t="shared" si="3"/>
        <v>1.3416666666666668</v>
      </c>
      <c r="D11" s="319">
        <f t="shared" si="3"/>
        <v>1.3333333333333335</v>
      </c>
      <c r="E11" s="319">
        <f t="shared" si="3"/>
        <v>1.1166666666666667</v>
      </c>
      <c r="F11" s="319">
        <f t="shared" si="3"/>
        <v>1.2</v>
      </c>
      <c r="G11" s="319">
        <f t="shared" si="3"/>
        <v>1.1499999999999999</v>
      </c>
      <c r="H11" s="319">
        <f t="shared" si="3"/>
        <v>0.96666666666666667</v>
      </c>
      <c r="I11" s="319">
        <f t="shared" si="3"/>
        <v>1.05</v>
      </c>
      <c r="J11" s="319">
        <f t="shared" si="3"/>
        <v>1</v>
      </c>
      <c r="K11" s="319">
        <f t="shared" si="3"/>
        <v>0.88885984816984065</v>
      </c>
      <c r="L11" s="319">
        <f t="shared" si="3"/>
        <v>0.84151331186960188</v>
      </c>
      <c r="M11" s="319">
        <f t="shared" si="3"/>
        <v>0.89737554401846986</v>
      </c>
      <c r="N11" s="319">
        <f t="shared" si="3"/>
        <v>0.73479470851698281</v>
      </c>
      <c r="O11" s="319">
        <f t="shared" si="3"/>
        <v>0.77370415691492522</v>
      </c>
      <c r="P11" s="319">
        <f t="shared" si="3"/>
        <v>0.81460167353743684</v>
      </c>
      <c r="Q11" s="319">
        <f t="shared" si="3"/>
        <v>0.8405664524253621</v>
      </c>
      <c r="R11" s="319">
        <f t="shared" si="3"/>
        <v>0.70718767696688167</v>
      </c>
      <c r="S11" s="319">
        <f t="shared" si="3"/>
        <v>0.64711962268185763</v>
      </c>
      <c r="T11" s="319">
        <f t="shared" si="3"/>
        <v>0.63361172822639089</v>
      </c>
      <c r="U11" s="319">
        <f t="shared" si="3"/>
        <v>0.6415358844284984</v>
      </c>
      <c r="V11" s="319">
        <f t="shared" si="3"/>
        <v>0.45145117793116557</v>
      </c>
      <c r="X11" s="211"/>
      <c r="Y11" s="212" t="s">
        <v>38</v>
      </c>
    </row>
    <row r="12" spans="1:33" ht="29.25" x14ac:dyDescent="0.25">
      <c r="A12" s="321" t="s">
        <v>39</v>
      </c>
      <c r="B12" s="240">
        <f t="shared" ref="B12:V12" si="4">B11/$E$11</f>
        <v>1.1791044776119404</v>
      </c>
      <c r="C12" s="240">
        <f t="shared" si="4"/>
        <v>1.2014925373134329</v>
      </c>
      <c r="D12" s="240">
        <f t="shared" si="4"/>
        <v>1.1940298507462688</v>
      </c>
      <c r="E12" s="240">
        <f t="shared" si="4"/>
        <v>1</v>
      </c>
      <c r="F12" s="240">
        <f t="shared" si="4"/>
        <v>1.0746268656716418</v>
      </c>
      <c r="G12" s="240">
        <f t="shared" si="4"/>
        <v>1.0298507462686566</v>
      </c>
      <c r="H12" s="240">
        <f t="shared" si="4"/>
        <v>0.86567164179104472</v>
      </c>
      <c r="I12" s="240">
        <f t="shared" si="4"/>
        <v>0.94029850746268662</v>
      </c>
      <c r="J12" s="240">
        <f t="shared" si="4"/>
        <v>0.89552238805970152</v>
      </c>
      <c r="K12" s="240">
        <f t="shared" si="4"/>
        <v>0.79599389388343933</v>
      </c>
      <c r="L12" s="240">
        <f t="shared" si="4"/>
        <v>0.75359401062949416</v>
      </c>
      <c r="M12" s="240">
        <f t="shared" si="4"/>
        <v>0.80361989016579394</v>
      </c>
      <c r="N12" s="240">
        <f t="shared" si="4"/>
        <v>0.65802511210476067</v>
      </c>
      <c r="O12" s="240">
        <f t="shared" si="4"/>
        <v>0.69286939425217187</v>
      </c>
      <c r="P12" s="240">
        <f t="shared" si="4"/>
        <v>0.7294940360036748</v>
      </c>
      <c r="Q12" s="240">
        <f t="shared" si="4"/>
        <v>0.75274607679883176</v>
      </c>
      <c r="R12" s="240">
        <f t="shared" si="4"/>
        <v>0.63330239728377458</v>
      </c>
      <c r="S12" s="240">
        <f t="shared" si="4"/>
        <v>0.57951010986435014</v>
      </c>
      <c r="T12" s="240">
        <f t="shared" si="4"/>
        <v>0.56741348796393209</v>
      </c>
      <c r="U12" s="240">
        <f t="shared" si="4"/>
        <v>0.57450974724940151</v>
      </c>
      <c r="V12" s="240">
        <f t="shared" si="4"/>
        <v>0.40428463695328259</v>
      </c>
      <c r="W12" s="211"/>
      <c r="X12" s="211"/>
      <c r="Y12" s="212" t="s">
        <v>40</v>
      </c>
    </row>
    <row r="13" spans="1:33" ht="33" customHeight="1" x14ac:dyDescent="0.25">
      <c r="A13" s="321" t="s">
        <v>41</v>
      </c>
      <c r="B13">
        <f t="shared" ref="B13:V13" si="5">B11/$B$11</f>
        <v>1</v>
      </c>
      <c r="C13">
        <f t="shared" si="5"/>
        <v>1.0189873417721518</v>
      </c>
      <c r="D13">
        <f t="shared" si="5"/>
        <v>1.0126582278481011</v>
      </c>
      <c r="E13">
        <f t="shared" si="5"/>
        <v>0.84810126582278467</v>
      </c>
      <c r="F13">
        <f t="shared" si="5"/>
        <v>0.911392405063291</v>
      </c>
      <c r="G13">
        <f t="shared" si="5"/>
        <v>0.87341772151898711</v>
      </c>
      <c r="H13">
        <f t="shared" si="5"/>
        <v>0.73417721518987333</v>
      </c>
      <c r="I13">
        <f t="shared" si="5"/>
        <v>0.79746835443037967</v>
      </c>
      <c r="J13">
        <f t="shared" si="5"/>
        <v>0.75949367088607578</v>
      </c>
      <c r="K13">
        <f t="shared" si="5"/>
        <v>0.67508342898975227</v>
      </c>
      <c r="L13">
        <f t="shared" si="5"/>
        <v>0.63912403433134313</v>
      </c>
      <c r="M13">
        <f t="shared" si="5"/>
        <v>0.68155104608997696</v>
      </c>
      <c r="N13">
        <f t="shared" si="5"/>
        <v>0.55807193051922732</v>
      </c>
      <c r="O13">
        <f t="shared" si="5"/>
        <v>0.58762341031513299</v>
      </c>
      <c r="P13">
        <f t="shared" si="5"/>
        <v>0.61868481534488862</v>
      </c>
      <c r="Q13">
        <f t="shared" si="5"/>
        <v>0.63840490057622423</v>
      </c>
      <c r="R13">
        <f t="shared" si="5"/>
        <v>0.53710456478497337</v>
      </c>
      <c r="S13">
        <f t="shared" si="5"/>
        <v>0.49148325773305634</v>
      </c>
      <c r="T13">
        <f t="shared" si="5"/>
        <v>0.48122409738713223</v>
      </c>
      <c r="U13">
        <f t="shared" si="5"/>
        <v>0.48724244386974552</v>
      </c>
      <c r="V13">
        <f t="shared" si="5"/>
        <v>0.34287431235278393</v>
      </c>
      <c r="W13" s="553" t="s">
        <v>42</v>
      </c>
      <c r="X13" s="553"/>
      <c r="Y13" s="212" t="s">
        <v>43</v>
      </c>
    </row>
  </sheetData>
  <mergeCells count="1">
    <mergeCell ref="W13:X13"/>
  </mergeCells>
  <hyperlinks>
    <hyperlink ref="X9" r:id="rId1" display="https://dataunodc.un.org/drugs/heroin_and_cocaine_prices_in_eu_and_usa-2017" xr:uid="{00000000-0004-0000-01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T75"/>
  <sheetViews>
    <sheetView zoomScaleNormal="100" workbookViewId="0"/>
  </sheetViews>
  <sheetFormatPr defaultColWidth="8.7109375" defaultRowHeight="15" x14ac:dyDescent="0.25"/>
  <cols>
    <col min="1" max="1" width="49.7109375" customWidth="1"/>
    <col min="2" max="3" width="15.7109375" customWidth="1"/>
    <col min="4" max="23" width="16.28515625" customWidth="1"/>
    <col min="24" max="24" width="18.28515625" customWidth="1"/>
    <col min="25" max="25" width="16.7109375" bestFit="1" customWidth="1"/>
    <col min="26" max="26" width="16" customWidth="1"/>
    <col min="27" max="27" width="17.7109375" customWidth="1"/>
    <col min="28" max="28" width="16.7109375" bestFit="1" customWidth="1"/>
    <col min="29" max="29" width="17.7109375" bestFit="1" customWidth="1"/>
    <col min="30" max="30" width="22.42578125" customWidth="1"/>
    <col min="31" max="31" width="17.28515625" customWidth="1"/>
    <col min="32" max="32" width="12.42578125" customWidth="1"/>
    <col min="33" max="33" width="12.7109375" customWidth="1"/>
    <col min="34" max="36" width="9" bestFit="1" customWidth="1"/>
  </cols>
  <sheetData>
    <row r="1" spans="1:46" x14ac:dyDescent="0.25">
      <c r="A1" s="382"/>
      <c r="B1" s="383">
        <v>1999</v>
      </c>
      <c r="C1" s="383">
        <v>2000</v>
      </c>
      <c r="D1" s="383">
        <v>2001</v>
      </c>
      <c r="E1" s="383">
        <v>2002</v>
      </c>
      <c r="F1" s="383">
        <v>2003</v>
      </c>
      <c r="G1" s="383">
        <v>2004</v>
      </c>
      <c r="H1" s="383">
        <v>2005</v>
      </c>
      <c r="I1" s="383">
        <v>2006</v>
      </c>
      <c r="J1" s="383">
        <v>2007</v>
      </c>
      <c r="K1" s="383">
        <v>2008</v>
      </c>
      <c r="L1" s="383">
        <v>2009</v>
      </c>
      <c r="M1" s="383">
        <v>2010</v>
      </c>
      <c r="N1" s="383">
        <v>2011</v>
      </c>
      <c r="O1" s="383">
        <v>2012</v>
      </c>
      <c r="P1" s="383">
        <v>2013</v>
      </c>
      <c r="Q1" s="383">
        <v>2014</v>
      </c>
      <c r="R1" s="383">
        <v>2015</v>
      </c>
      <c r="S1" s="383">
        <v>2016</v>
      </c>
      <c r="T1" s="383">
        <v>2017</v>
      </c>
      <c r="U1" s="383">
        <v>2018</v>
      </c>
      <c r="V1" s="383">
        <v>2019</v>
      </c>
      <c r="W1" s="384">
        <v>2020</v>
      </c>
    </row>
    <row r="2" spans="1:46" x14ac:dyDescent="0.25">
      <c r="A2" s="350" t="s">
        <v>0</v>
      </c>
      <c r="B2" s="18">
        <f t="shared" ref="B2:W2" si="0">B14</f>
        <v>156716600</v>
      </c>
      <c r="C2" s="18">
        <f t="shared" si="0"/>
        <v>167976040</v>
      </c>
      <c r="D2" s="18">
        <f t="shared" si="0"/>
        <v>183715880</v>
      </c>
      <c r="E2" s="18">
        <f t="shared" si="0"/>
        <v>187651428</v>
      </c>
      <c r="F2" s="18">
        <f t="shared" si="0"/>
        <v>194953119</v>
      </c>
      <c r="G2" s="18">
        <f t="shared" si="0"/>
        <v>204027579</v>
      </c>
      <c r="H2" s="18">
        <f t="shared" si="0"/>
        <v>211944467</v>
      </c>
      <c r="I2" s="18">
        <f t="shared" si="0"/>
        <v>224458726</v>
      </c>
      <c r="J2" s="18">
        <f t="shared" si="0"/>
        <v>237583497</v>
      </c>
      <c r="K2" s="18">
        <f t="shared" si="0"/>
        <v>246965271</v>
      </c>
      <c r="L2" s="18">
        <f t="shared" si="0"/>
        <v>253048448</v>
      </c>
      <c r="M2" s="18">
        <f t="shared" si="0"/>
        <v>259934115</v>
      </c>
      <c r="N2" s="18">
        <f t="shared" si="0"/>
        <v>260625937</v>
      </c>
      <c r="O2" s="18">
        <f t="shared" si="0"/>
        <v>263067911</v>
      </c>
      <c r="P2" s="18">
        <f t="shared" si="0"/>
        <v>253919348</v>
      </c>
      <c r="Q2" s="18">
        <f t="shared" si="0"/>
        <v>246326325</v>
      </c>
      <c r="R2" s="18">
        <f t="shared" si="0"/>
        <v>229140550</v>
      </c>
      <c r="S2" s="18">
        <f t="shared" si="0"/>
        <v>217313967</v>
      </c>
      <c r="T2" s="18">
        <f t="shared" si="0"/>
        <v>193782638</v>
      </c>
      <c r="U2" s="18">
        <f t="shared" si="0"/>
        <v>169863949</v>
      </c>
      <c r="V2" s="18">
        <f t="shared" si="0"/>
        <v>154658303</v>
      </c>
      <c r="W2" s="315">
        <f t="shared" si="0"/>
        <v>144174733</v>
      </c>
    </row>
    <row r="3" spans="1:46" x14ac:dyDescent="0.25">
      <c r="A3" s="71" t="s">
        <v>1</v>
      </c>
      <c r="B3" s="18">
        <f t="shared" ref="B3:W3" si="1">B17</f>
        <v>83860335346.247116</v>
      </c>
      <c r="C3" s="18">
        <f t="shared" si="1"/>
        <v>88243037645.415298</v>
      </c>
      <c r="D3" s="18">
        <f t="shared" si="1"/>
        <v>104432410000.00002</v>
      </c>
      <c r="E3" s="18">
        <f t="shared" si="1"/>
        <v>113914397673</v>
      </c>
      <c r="F3" s="18">
        <f t="shared" si="1"/>
        <v>128182380208</v>
      </c>
      <c r="G3" s="18">
        <f t="shared" si="1"/>
        <v>141266597589</v>
      </c>
      <c r="H3" s="18">
        <f t="shared" si="1"/>
        <v>152741116253</v>
      </c>
      <c r="I3" s="18">
        <f t="shared" si="1"/>
        <v>172377484435</v>
      </c>
      <c r="J3" s="18">
        <f t="shared" si="1"/>
        <v>194816933897</v>
      </c>
      <c r="K3" s="18">
        <f t="shared" si="1"/>
        <v>214803554568</v>
      </c>
      <c r="L3" s="18">
        <f t="shared" si="1"/>
        <v>227757668789</v>
      </c>
      <c r="M3" s="18">
        <f t="shared" si="1"/>
        <v>245404960604</v>
      </c>
      <c r="N3" s="18">
        <f t="shared" si="1"/>
        <v>246463188398</v>
      </c>
      <c r="O3" s="18">
        <f t="shared" si="1"/>
        <v>239867616739</v>
      </c>
      <c r="P3" s="18">
        <f t="shared" si="1"/>
        <v>228965844787</v>
      </c>
      <c r="Q3" s="18">
        <f t="shared" si="1"/>
        <v>221271525079</v>
      </c>
      <c r="R3" s="18">
        <f t="shared" si="1"/>
        <v>209409702158</v>
      </c>
      <c r="S3" s="18">
        <f t="shared" si="1"/>
        <v>197124327717</v>
      </c>
      <c r="T3" s="18">
        <f t="shared" si="1"/>
        <v>170285611746</v>
      </c>
      <c r="U3" s="18">
        <f t="shared" si="1"/>
        <v>141100706124</v>
      </c>
      <c r="V3" s="18">
        <f t="shared" si="1"/>
        <v>120407890118</v>
      </c>
      <c r="W3" s="315">
        <f t="shared" si="1"/>
        <v>110314545203</v>
      </c>
      <c r="AA3" s="48"/>
    </row>
    <row r="4" spans="1:46" x14ac:dyDescent="0.25">
      <c r="A4" s="71" t="s">
        <v>193</v>
      </c>
      <c r="B4" s="423">
        <f t="shared" ref="B4:W4" si="2">B27</f>
        <v>0</v>
      </c>
      <c r="C4" s="423">
        <f t="shared" si="2"/>
        <v>0</v>
      </c>
      <c r="D4" s="423">
        <f t="shared" si="2"/>
        <v>0</v>
      </c>
      <c r="E4" s="423">
        <f t="shared" si="2"/>
        <v>0</v>
      </c>
      <c r="F4" s="423">
        <f t="shared" si="2"/>
        <v>0</v>
      </c>
      <c r="G4" s="423">
        <f t="shared" si="2"/>
        <v>0</v>
      </c>
      <c r="H4" s="423">
        <f t="shared" si="2"/>
        <v>0</v>
      </c>
      <c r="I4" s="423">
        <f t="shared" si="2"/>
        <v>0</v>
      </c>
      <c r="J4" s="423">
        <f t="shared" si="2"/>
        <v>0</v>
      </c>
      <c r="K4" s="423">
        <f t="shared" si="2"/>
        <v>0</v>
      </c>
      <c r="L4" s="423">
        <f t="shared" si="2"/>
        <v>1.2868150677794213E-4</v>
      </c>
      <c r="M4" s="423">
        <f t="shared" si="2"/>
        <v>3.0440046129983321E-2</v>
      </c>
      <c r="N4" s="423">
        <f t="shared" si="2"/>
        <v>0.10357235362782942</v>
      </c>
      <c r="O4" s="423">
        <f t="shared" si="2"/>
        <v>9.0387600251146713E-2</v>
      </c>
      <c r="P4" s="423">
        <f t="shared" si="2"/>
        <v>8.5121503878147764E-2</v>
      </c>
      <c r="Q4" s="423">
        <f t="shared" si="2"/>
        <v>7.9822156563950336E-2</v>
      </c>
      <c r="R4" s="423">
        <f t="shared" si="2"/>
        <v>7.5699132306866743E-2</v>
      </c>
      <c r="S4" s="423">
        <f t="shared" si="2"/>
        <v>7.0648063363307451E-2</v>
      </c>
      <c r="T4" s="423">
        <f t="shared" si="2"/>
        <v>6.5304469508482815E-2</v>
      </c>
      <c r="U4" s="423">
        <f t="shared" si="2"/>
        <v>6.2178924571006849E-2</v>
      </c>
      <c r="V4" s="423">
        <f t="shared" si="2"/>
        <v>5.5745186078936089E-2</v>
      </c>
      <c r="W4" s="451">
        <f t="shared" si="2"/>
        <v>4.9272336100354815E-2</v>
      </c>
      <c r="AA4" s="48"/>
    </row>
    <row r="5" spans="1:46" ht="15.75" thickBot="1" x14ac:dyDescent="0.3">
      <c r="A5" s="72" t="s">
        <v>493</v>
      </c>
      <c r="B5" s="452">
        <f>B10</f>
        <v>57913419.107661247</v>
      </c>
      <c r="C5" s="452">
        <f t="shared" ref="C5:D5" si="3">C10</f>
        <v>59397296.813064575</v>
      </c>
      <c r="D5" s="452">
        <f t="shared" si="3"/>
        <v>60881174.51846838</v>
      </c>
      <c r="E5" s="453">
        <f t="shared" ref="E5:V5" si="4">E9</f>
        <v>63323080.703804597</v>
      </c>
      <c r="F5" s="453">
        <f t="shared" si="4"/>
        <v>63804536.966740698</v>
      </c>
      <c r="G5" s="453">
        <f t="shared" si="4"/>
        <v>62682441.868738703</v>
      </c>
      <c r="H5" s="453">
        <f t="shared" si="4"/>
        <v>64233678.942893296</v>
      </c>
      <c r="I5" s="453">
        <f t="shared" si="4"/>
        <v>72484377.091890693</v>
      </c>
      <c r="J5" s="453">
        <f t="shared" si="4"/>
        <v>71731564.967042297</v>
      </c>
      <c r="K5" s="453">
        <f t="shared" si="4"/>
        <v>71966640.718910307</v>
      </c>
      <c r="L5" s="453">
        <f t="shared" si="4"/>
        <v>70242672.282253996</v>
      </c>
      <c r="M5" s="453">
        <f t="shared" si="4"/>
        <v>72196826.934210598</v>
      </c>
      <c r="N5" s="453">
        <f t="shared" si="4"/>
        <v>72354218.425861493</v>
      </c>
      <c r="O5" s="453">
        <f t="shared" si="4"/>
        <v>72620520.514616698</v>
      </c>
      <c r="P5" s="453">
        <f t="shared" si="4"/>
        <v>69782268.831006601</v>
      </c>
      <c r="Q5" s="453">
        <f t="shared" si="4"/>
        <v>68451960.146435499</v>
      </c>
      <c r="R5" s="453">
        <f t="shared" si="4"/>
        <v>67098851.729051702</v>
      </c>
      <c r="S5" s="453">
        <f t="shared" si="4"/>
        <v>64662029.880932502</v>
      </c>
      <c r="T5" s="453">
        <f t="shared" si="4"/>
        <v>57543442.3193608</v>
      </c>
      <c r="U5" s="453">
        <f t="shared" si="4"/>
        <v>50847486.582352601</v>
      </c>
      <c r="V5" s="453">
        <f t="shared" si="4"/>
        <v>45900215</v>
      </c>
      <c r="W5" s="454">
        <v>41264730</v>
      </c>
      <c r="AA5" s="48"/>
    </row>
    <row r="6" spans="1:46" ht="15.75" thickBot="1" x14ac:dyDescent="0.3">
      <c r="A6" s="426"/>
      <c r="Z6" s="387"/>
      <c r="AA6" s="387"/>
      <c r="AB6" s="387"/>
      <c r="AC6" s="387"/>
      <c r="AD6" s="387"/>
      <c r="AE6" s="387"/>
      <c r="AF6" s="387"/>
      <c r="AG6" s="387"/>
      <c r="AH6" s="387"/>
      <c r="AI6" s="387"/>
      <c r="AJ6" s="387"/>
      <c r="AK6" s="387"/>
      <c r="AL6" s="387"/>
      <c r="AM6" s="387"/>
      <c r="AN6" s="387"/>
      <c r="AO6" s="387"/>
      <c r="AP6" s="387"/>
      <c r="AQ6" s="387"/>
      <c r="AR6" s="387"/>
      <c r="AS6" s="387"/>
      <c r="AT6" s="387"/>
    </row>
    <row r="7" spans="1:46" ht="19.5" thickBot="1" x14ac:dyDescent="0.35">
      <c r="A7" s="577"/>
      <c r="B7" s="578"/>
      <c r="C7" s="579"/>
      <c r="X7" s="48"/>
      <c r="Y7" s="351"/>
      <c r="Z7" s="246"/>
    </row>
    <row r="8" spans="1:46" x14ac:dyDescent="0.25">
      <c r="A8" t="s">
        <v>195</v>
      </c>
    </row>
    <row r="9" spans="1:46" x14ac:dyDescent="0.25">
      <c r="A9" t="s">
        <v>194</v>
      </c>
      <c r="B9" s="436"/>
      <c r="C9" s="436"/>
      <c r="D9" s="436"/>
      <c r="E9" s="439">
        <v>63323080.703804597</v>
      </c>
      <c r="F9" s="439">
        <v>63804536.966740698</v>
      </c>
      <c r="G9" s="439">
        <v>62682441.868738703</v>
      </c>
      <c r="H9" s="439">
        <v>64233678.942893296</v>
      </c>
      <c r="I9" s="436">
        <v>72484377.091890693</v>
      </c>
      <c r="J9" s="436">
        <v>71731564.967042297</v>
      </c>
      <c r="K9" s="436">
        <v>71966640.718910307</v>
      </c>
      <c r="L9" s="436">
        <v>70242672.282253996</v>
      </c>
      <c r="M9" s="436">
        <v>72196826.934210598</v>
      </c>
      <c r="N9" s="436">
        <v>72354218.425861493</v>
      </c>
      <c r="O9" s="436">
        <v>72620520.514616698</v>
      </c>
      <c r="P9" s="436">
        <v>69782268.831006601</v>
      </c>
      <c r="Q9" s="436">
        <v>68451960.146435499</v>
      </c>
      <c r="R9" s="436">
        <v>67098851.729051702</v>
      </c>
      <c r="S9" s="436">
        <v>64662029.880932502</v>
      </c>
      <c r="T9" s="436">
        <v>57543442.3193608</v>
      </c>
      <c r="U9" s="436">
        <v>50847486.582352601</v>
      </c>
      <c r="V9" s="436">
        <v>45900215</v>
      </c>
      <c r="W9" s="450">
        <v>41264730</v>
      </c>
    </row>
    <row r="10" spans="1:46" x14ac:dyDescent="0.25">
      <c r="A10" t="s">
        <v>481</v>
      </c>
      <c r="B10" s="436">
        <f>TREND($E9:$L9,$E1:$L1,B1)</f>
        <v>57913419.107661247</v>
      </c>
      <c r="C10" s="436">
        <f>TREND($E9:$L9,$E1:$L1,C1)</f>
        <v>59397296.813064575</v>
      </c>
      <c r="D10" s="436">
        <f>TREND($E9:$L9,$E1:$L1,D1)</f>
        <v>60881174.51846838</v>
      </c>
      <c r="E10" s="439"/>
      <c r="F10" s="439"/>
      <c r="G10" s="439"/>
      <c r="H10" s="439"/>
      <c r="I10" s="436"/>
      <c r="J10" s="436"/>
      <c r="K10" s="436"/>
      <c r="L10" s="436"/>
      <c r="M10" s="436"/>
      <c r="N10" s="436"/>
      <c r="O10" s="436"/>
      <c r="P10" s="436"/>
      <c r="Q10" s="436"/>
      <c r="R10" s="436"/>
      <c r="S10" s="436"/>
      <c r="T10" s="436"/>
      <c r="U10" s="436"/>
      <c r="V10" s="436"/>
      <c r="W10" s="450"/>
    </row>
    <row r="11" spans="1:46" x14ac:dyDescent="0.25">
      <c r="B11" s="436"/>
      <c r="C11" s="436"/>
      <c r="D11" s="436"/>
      <c r="E11" s="439"/>
      <c r="F11" s="439"/>
      <c r="G11" s="439"/>
      <c r="H11" s="439"/>
      <c r="I11" s="436"/>
      <c r="J11" s="436"/>
      <c r="K11" s="436"/>
      <c r="L11" s="436"/>
      <c r="M11" s="436"/>
      <c r="N11" s="436"/>
      <c r="O11" s="436"/>
      <c r="P11" s="436"/>
      <c r="Q11" s="436"/>
      <c r="R11" s="436"/>
      <c r="S11" s="436"/>
      <c r="T11" s="436"/>
      <c r="U11" s="436"/>
      <c r="V11" s="436"/>
      <c r="W11" s="450"/>
    </row>
    <row r="12" spans="1:46" ht="51.4" customHeight="1" x14ac:dyDescent="0.35">
      <c r="A12" s="372" t="s">
        <v>500</v>
      </c>
    </row>
    <row r="13" spans="1:46" ht="15.75" thickBot="1" x14ac:dyDescent="0.3">
      <c r="B13" s="433"/>
      <c r="C13" s="433"/>
      <c r="D13" s="433"/>
      <c r="E13" s="433"/>
      <c r="F13" s="433"/>
      <c r="G13" s="433"/>
      <c r="H13" s="433"/>
      <c r="I13" s="433"/>
      <c r="J13" s="433"/>
      <c r="K13" s="433"/>
      <c r="L13" s="342"/>
      <c r="M13" s="342"/>
      <c r="N13" s="342"/>
      <c r="O13" s="342"/>
      <c r="P13" s="342"/>
      <c r="Q13" s="342"/>
      <c r="R13" s="342"/>
      <c r="S13" s="342"/>
      <c r="T13" s="342"/>
      <c r="U13" s="342"/>
      <c r="V13" s="342"/>
      <c r="W13" s="342"/>
    </row>
    <row r="14" spans="1:46" x14ac:dyDescent="0.25">
      <c r="A14" s="392" t="s">
        <v>0</v>
      </c>
      <c r="B14" s="344">
        <v>156716600</v>
      </c>
      <c r="C14" s="344">
        <v>167976040</v>
      </c>
      <c r="D14" s="344">
        <v>183715880</v>
      </c>
      <c r="E14" s="344">
        <v>187651428</v>
      </c>
      <c r="F14" s="344">
        <v>194953119</v>
      </c>
      <c r="G14" s="344">
        <v>204027579</v>
      </c>
      <c r="H14" s="344">
        <v>211944467</v>
      </c>
      <c r="I14" s="344">
        <v>224458726</v>
      </c>
      <c r="J14" s="344">
        <v>237583497</v>
      </c>
      <c r="K14" s="344">
        <v>246965271</v>
      </c>
      <c r="L14" s="344">
        <v>253048448</v>
      </c>
      <c r="M14" s="344">
        <v>259934115</v>
      </c>
      <c r="N14" s="344">
        <v>260625937</v>
      </c>
      <c r="O14" s="344">
        <v>263067911</v>
      </c>
      <c r="P14" s="344">
        <v>253919348</v>
      </c>
      <c r="Q14" s="344">
        <v>246326325</v>
      </c>
      <c r="R14" s="344">
        <v>229140550</v>
      </c>
      <c r="S14" s="344">
        <v>217313967</v>
      </c>
      <c r="T14" s="344">
        <v>193782638</v>
      </c>
      <c r="U14" s="344">
        <v>169863949</v>
      </c>
      <c r="V14" s="344">
        <v>154658303</v>
      </c>
      <c r="W14" s="345">
        <v>144174733</v>
      </c>
    </row>
    <row r="15" spans="1:46" ht="75.75" thickBot="1" x14ac:dyDescent="0.3">
      <c r="A15" s="259" t="s">
        <v>196</v>
      </c>
      <c r="B15" s="580" t="s">
        <v>495</v>
      </c>
      <c r="C15" s="580"/>
      <c r="D15" s="580"/>
      <c r="E15" s="346"/>
      <c r="F15" s="346"/>
      <c r="G15" s="346"/>
      <c r="H15" s="346"/>
      <c r="I15" s="346"/>
      <c r="J15" s="346"/>
      <c r="K15" s="346"/>
      <c r="L15" s="346"/>
      <c r="M15" s="346"/>
      <c r="N15" s="346"/>
      <c r="O15" s="388" t="s">
        <v>197</v>
      </c>
      <c r="P15" s="346"/>
      <c r="Q15" s="346"/>
      <c r="R15" s="346"/>
      <c r="S15" s="346"/>
      <c r="T15" s="346"/>
      <c r="U15" s="346"/>
      <c r="V15" s="346"/>
      <c r="W15" s="347"/>
      <c r="X15" s="393"/>
    </row>
    <row r="16" spans="1:46" ht="40.9" customHeight="1" x14ac:dyDescent="0.25">
      <c r="A16" s="382"/>
      <c r="B16" s="343">
        <v>1999</v>
      </c>
      <c r="C16" s="343">
        <v>2000</v>
      </c>
      <c r="D16" s="343">
        <v>2001</v>
      </c>
      <c r="E16" s="343">
        <v>2002</v>
      </c>
      <c r="F16" s="343">
        <v>2003</v>
      </c>
      <c r="G16" s="343">
        <v>2004</v>
      </c>
      <c r="H16" s="343">
        <v>2005</v>
      </c>
      <c r="I16" s="343">
        <v>2006</v>
      </c>
      <c r="J16" s="343">
        <v>2007</v>
      </c>
      <c r="K16" s="343">
        <v>2008</v>
      </c>
      <c r="L16" s="343">
        <v>2009</v>
      </c>
      <c r="M16" s="343">
        <v>2010</v>
      </c>
      <c r="N16" s="343">
        <v>2011</v>
      </c>
      <c r="O16" s="343">
        <v>2012</v>
      </c>
      <c r="P16" s="343">
        <v>2013</v>
      </c>
      <c r="Q16" s="343">
        <v>2014</v>
      </c>
      <c r="R16" s="343">
        <v>2015</v>
      </c>
      <c r="S16" s="343">
        <v>2016</v>
      </c>
      <c r="T16" s="343">
        <v>2017</v>
      </c>
      <c r="U16" s="343">
        <v>2018</v>
      </c>
      <c r="V16" s="348">
        <v>2019</v>
      </c>
      <c r="W16" s="349">
        <v>2020</v>
      </c>
      <c r="X16" s="393"/>
    </row>
    <row r="17" spans="1:34" ht="45" x14ac:dyDescent="0.25">
      <c r="A17" s="394" t="s">
        <v>198</v>
      </c>
      <c r="B17" s="424">
        <f>B43*1000000</f>
        <v>83860335346.247116</v>
      </c>
      <c r="C17" s="424">
        <f>C43*1000000</f>
        <v>88243037645.415298</v>
      </c>
      <c r="D17" s="424">
        <f>D43*1000000</f>
        <v>104432410000.00002</v>
      </c>
      <c r="E17" s="424">
        <v>113914397673</v>
      </c>
      <c r="F17" s="424">
        <v>128182380208</v>
      </c>
      <c r="G17" s="424">
        <v>141266597589</v>
      </c>
      <c r="H17" s="424">
        <v>152741116253</v>
      </c>
      <c r="I17" s="424">
        <v>172377484435</v>
      </c>
      <c r="J17" s="424">
        <v>194816933897</v>
      </c>
      <c r="K17" s="424">
        <v>214803554568</v>
      </c>
      <c r="L17" s="424">
        <v>227757668789</v>
      </c>
      <c r="M17" s="424">
        <v>245404960604</v>
      </c>
      <c r="N17" s="424">
        <v>246463188398</v>
      </c>
      <c r="O17" s="424">
        <v>239867616739</v>
      </c>
      <c r="P17" s="424">
        <v>228965844787</v>
      </c>
      <c r="Q17" s="424">
        <v>221271525079</v>
      </c>
      <c r="R17" s="424">
        <v>209409702158</v>
      </c>
      <c r="S17" s="424">
        <v>197124327717</v>
      </c>
      <c r="T17" s="424">
        <v>170285611746</v>
      </c>
      <c r="U17" s="424">
        <v>141100706124</v>
      </c>
      <c r="V17" s="424">
        <v>120407890118</v>
      </c>
      <c r="W17" s="425">
        <v>110314545203</v>
      </c>
      <c r="X17" s="247"/>
    </row>
    <row r="18" spans="1:34" ht="66.400000000000006" customHeight="1" x14ac:dyDescent="0.25">
      <c r="A18" s="395" t="s">
        <v>199</v>
      </c>
      <c r="B18" s="589" t="s">
        <v>200</v>
      </c>
      <c r="C18" s="589"/>
      <c r="D18" s="589"/>
      <c r="E18" s="396"/>
      <c r="F18" s="396"/>
      <c r="G18" s="396"/>
      <c r="H18" s="396"/>
      <c r="I18" s="396"/>
      <c r="J18" s="396"/>
      <c r="K18" s="396"/>
      <c r="L18" s="396"/>
      <c r="M18" s="396"/>
      <c r="N18" s="396"/>
      <c r="O18" s="396"/>
      <c r="P18" s="396"/>
      <c r="Q18" s="396"/>
      <c r="R18" s="396"/>
      <c r="S18" s="396"/>
      <c r="T18" s="396"/>
      <c r="U18" s="396"/>
      <c r="V18" s="352"/>
      <c r="W18" s="353"/>
      <c r="X18" s="247"/>
    </row>
    <row r="19" spans="1:34" ht="15.75" thickBot="1" x14ac:dyDescent="0.3">
      <c r="A19" s="586" t="s">
        <v>201</v>
      </c>
      <c r="B19" s="587"/>
      <c r="C19" s="587"/>
      <c r="D19" s="587"/>
      <c r="E19" s="587"/>
      <c r="F19" s="587"/>
      <c r="G19" s="587"/>
      <c r="H19" s="587"/>
      <c r="I19" s="587"/>
      <c r="J19" s="587"/>
      <c r="K19" s="587"/>
      <c r="L19" s="587"/>
      <c r="M19" s="587"/>
      <c r="N19" s="587"/>
      <c r="O19" s="397"/>
      <c r="P19" s="397"/>
      <c r="Q19" s="397"/>
      <c r="R19" s="354"/>
      <c r="S19" s="254"/>
      <c r="T19" s="355"/>
      <c r="U19" s="355"/>
      <c r="V19" s="355"/>
      <c r="W19" s="356"/>
      <c r="X19" s="247"/>
      <c r="Y19" s="248"/>
    </row>
    <row r="20" spans="1:34" ht="15.75" thickBot="1" x14ac:dyDescent="0.3">
      <c r="A20" s="331"/>
      <c r="B20" s="331"/>
      <c r="C20" s="331"/>
      <c r="D20" s="331"/>
      <c r="E20" s="331"/>
      <c r="F20" s="331"/>
      <c r="G20" s="331"/>
      <c r="H20" s="331"/>
      <c r="I20" s="331"/>
      <c r="J20" s="331"/>
      <c r="K20" s="331"/>
      <c r="L20" s="331"/>
      <c r="M20" s="331"/>
      <c r="N20" s="232"/>
      <c r="O20" s="232"/>
      <c r="P20" s="232"/>
      <c r="Q20" s="232"/>
      <c r="R20" s="250"/>
      <c r="S20" s="247"/>
      <c r="T20" s="247"/>
      <c r="U20" s="247"/>
      <c r="V20" s="247"/>
      <c r="W20" s="247"/>
      <c r="X20" s="248"/>
      <c r="Y20" s="249"/>
      <c r="Z20" s="248"/>
      <c r="AA20" s="248"/>
      <c r="AB20" s="248"/>
      <c r="AC20" s="248"/>
      <c r="AD20" s="248"/>
      <c r="AE20" s="248"/>
      <c r="AF20" s="248"/>
      <c r="AG20" s="248"/>
      <c r="AH20" s="248"/>
    </row>
    <row r="21" spans="1:34" ht="47.25" x14ac:dyDescent="0.25">
      <c r="A21" s="357" t="s">
        <v>497</v>
      </c>
      <c r="B21" s="252"/>
      <c r="C21" s="252"/>
      <c r="D21" s="252"/>
      <c r="E21" s="252"/>
      <c r="F21" s="252"/>
      <c r="G21" s="252"/>
      <c r="H21" s="252"/>
      <c r="I21" s="252"/>
      <c r="J21" s="252"/>
      <c r="K21" s="252"/>
      <c r="L21" s="343">
        <v>2009</v>
      </c>
      <c r="M21" s="343">
        <v>2010</v>
      </c>
      <c r="N21" s="343">
        <v>2011</v>
      </c>
      <c r="O21" s="343">
        <v>2012</v>
      </c>
      <c r="P21" s="343">
        <v>2013</v>
      </c>
      <c r="Q21" s="343">
        <v>2014</v>
      </c>
      <c r="R21" s="343">
        <v>2015</v>
      </c>
      <c r="S21" s="343">
        <v>2016</v>
      </c>
      <c r="T21" s="343">
        <v>2017</v>
      </c>
      <c r="U21" s="343">
        <v>2018</v>
      </c>
      <c r="V21" s="348">
        <v>2019</v>
      </c>
      <c r="W21" s="349">
        <v>2020</v>
      </c>
      <c r="X21" s="249"/>
      <c r="Z21" s="352"/>
      <c r="AA21" s="352"/>
      <c r="AB21" s="352"/>
      <c r="AC21" s="352"/>
      <c r="AD21" s="352"/>
      <c r="AE21" s="352"/>
      <c r="AF21" s="352"/>
      <c r="AG21" s="352"/>
      <c r="AH21" s="352"/>
    </row>
    <row r="22" spans="1:34" x14ac:dyDescent="0.25">
      <c r="A22" s="358"/>
      <c r="B22" s="359" t="s">
        <v>502</v>
      </c>
      <c r="L22" s="398">
        <v>29308200</v>
      </c>
      <c r="M22" s="398">
        <v>7470138321.3125</v>
      </c>
      <c r="N22" s="399">
        <v>25526772505</v>
      </c>
      <c r="O22" s="399">
        <v>21681058255</v>
      </c>
      <c r="P22" s="399">
        <v>19489917045</v>
      </c>
      <c r="Q22" s="399">
        <v>17662370318</v>
      </c>
      <c r="R22" s="399">
        <v>15852132750</v>
      </c>
      <c r="S22" s="399">
        <v>13926451995</v>
      </c>
      <c r="T22" s="399">
        <v>11120411540</v>
      </c>
      <c r="U22" s="399">
        <v>8773490163</v>
      </c>
      <c r="V22" s="399">
        <v>6712160240</v>
      </c>
      <c r="W22" s="400">
        <v>5435455348</v>
      </c>
      <c r="Y22" s="248"/>
      <c r="Z22" s="247"/>
      <c r="AA22" s="247"/>
      <c r="AB22" s="247"/>
      <c r="AC22" s="247"/>
      <c r="AD22" s="247"/>
      <c r="AE22" s="247"/>
    </row>
    <row r="23" spans="1:34" x14ac:dyDescent="0.25">
      <c r="A23" s="358"/>
      <c r="B23" s="359" t="s">
        <v>202</v>
      </c>
      <c r="M23" s="331"/>
      <c r="N23" s="331"/>
      <c r="O23" s="232"/>
      <c r="P23" s="232"/>
      <c r="Q23" s="232"/>
      <c r="R23" s="360"/>
      <c r="W23" s="386"/>
      <c r="Y23" s="249"/>
      <c r="Z23" s="248"/>
      <c r="AA23" s="248"/>
      <c r="AB23" s="248"/>
      <c r="AC23" s="248"/>
      <c r="AD23" s="248"/>
      <c r="AE23" s="248"/>
      <c r="AF23" s="248"/>
      <c r="AG23" s="248"/>
      <c r="AH23" s="248"/>
    </row>
    <row r="24" spans="1:34" ht="25.5" thickBot="1" x14ac:dyDescent="0.3">
      <c r="A24" s="584"/>
      <c r="B24" s="585"/>
      <c r="C24" s="585"/>
      <c r="D24" s="361" t="s">
        <v>203</v>
      </c>
      <c r="E24" s="362" t="s">
        <v>204</v>
      </c>
      <c r="F24" s="362" t="s">
        <v>205</v>
      </c>
      <c r="G24" s="362" t="s">
        <v>206</v>
      </c>
      <c r="H24" s="362" t="s">
        <v>207</v>
      </c>
      <c r="I24" s="362" t="s">
        <v>208</v>
      </c>
      <c r="J24" s="362" t="s">
        <v>209</v>
      </c>
      <c r="K24" s="362" t="s">
        <v>210</v>
      </c>
      <c r="L24" s="401" t="s">
        <v>494</v>
      </c>
      <c r="M24" s="401"/>
      <c r="N24" s="432"/>
      <c r="O24" s="397"/>
      <c r="P24" s="397"/>
      <c r="Q24" s="397"/>
      <c r="R24" s="254"/>
      <c r="S24" s="254"/>
      <c r="T24" s="254"/>
      <c r="U24" s="254"/>
      <c r="V24" s="254"/>
      <c r="W24" s="390"/>
      <c r="Y24" s="249"/>
      <c r="Z24" s="352"/>
      <c r="AA24" s="352"/>
      <c r="AB24" s="352"/>
      <c r="AC24" s="352"/>
      <c r="AD24" s="352"/>
      <c r="AE24" s="352"/>
      <c r="AF24" s="352"/>
      <c r="AG24" s="352"/>
      <c r="AH24" s="352"/>
    </row>
    <row r="25" spans="1:34" ht="28.5" customHeight="1" thickBot="1" x14ac:dyDescent="0.3">
      <c r="O25" s="232"/>
      <c r="P25" s="232"/>
      <c r="Q25" s="232"/>
      <c r="Y25" s="247"/>
      <c r="Z25" s="352"/>
      <c r="AA25" s="352"/>
      <c r="AB25" s="352"/>
      <c r="AC25" s="352"/>
      <c r="AD25" s="352"/>
      <c r="AE25" s="352"/>
      <c r="AF25" s="352"/>
      <c r="AG25" s="352"/>
      <c r="AH25" s="352"/>
    </row>
    <row r="26" spans="1:34" x14ac:dyDescent="0.25">
      <c r="A26" s="382"/>
      <c r="B26" s="343">
        <v>1999</v>
      </c>
      <c r="C26" s="343">
        <v>2000</v>
      </c>
      <c r="D26" s="343">
        <v>2001</v>
      </c>
      <c r="E26" s="343">
        <v>2002</v>
      </c>
      <c r="F26" s="343">
        <v>2003</v>
      </c>
      <c r="G26" s="343">
        <v>2004</v>
      </c>
      <c r="H26" s="343">
        <v>2005</v>
      </c>
      <c r="I26" s="343">
        <v>2006</v>
      </c>
      <c r="J26" s="343">
        <v>2007</v>
      </c>
      <c r="K26" s="343">
        <v>2008</v>
      </c>
      <c r="L26" s="343">
        <v>2009</v>
      </c>
      <c r="M26" s="343">
        <v>2010</v>
      </c>
      <c r="N26" s="343">
        <v>2011</v>
      </c>
      <c r="O26" s="343">
        <v>2012</v>
      </c>
      <c r="P26" s="343">
        <v>2013</v>
      </c>
      <c r="Q26" s="343">
        <v>2014</v>
      </c>
      <c r="R26" s="343">
        <v>2015</v>
      </c>
      <c r="S26" s="343">
        <v>2016</v>
      </c>
      <c r="T26" s="343">
        <v>2017</v>
      </c>
      <c r="U26" s="343">
        <v>2018</v>
      </c>
      <c r="V26" s="348">
        <v>2019</v>
      </c>
      <c r="W26" s="349">
        <v>2020</v>
      </c>
      <c r="Z26" s="247"/>
      <c r="AA26" s="247"/>
      <c r="AB26" s="247"/>
      <c r="AC26" s="247"/>
      <c r="AD26" s="247"/>
      <c r="AE26" s="247"/>
    </row>
    <row r="27" spans="1:34" ht="38.450000000000003" customHeight="1" thickBot="1" x14ac:dyDescent="0.3">
      <c r="A27" s="391" t="s">
        <v>211</v>
      </c>
      <c r="B27" s="254">
        <v>0</v>
      </c>
      <c r="C27" s="254">
        <v>0</v>
      </c>
      <c r="D27" s="254">
        <v>0</v>
      </c>
      <c r="E27" s="254">
        <v>0</v>
      </c>
      <c r="F27" s="254">
        <v>0</v>
      </c>
      <c r="G27" s="254">
        <v>0</v>
      </c>
      <c r="H27" s="254">
        <v>0</v>
      </c>
      <c r="I27" s="254">
        <v>0</v>
      </c>
      <c r="J27" s="254">
        <v>0</v>
      </c>
      <c r="K27" s="254">
        <v>0</v>
      </c>
      <c r="L27" s="254">
        <f t="shared" ref="L27:W27" si="5">L22/L17</f>
        <v>1.2868150677794213E-4</v>
      </c>
      <c r="M27" s="254">
        <f t="shared" si="5"/>
        <v>3.0440046129983321E-2</v>
      </c>
      <c r="N27" s="254">
        <f t="shared" si="5"/>
        <v>0.10357235362782942</v>
      </c>
      <c r="O27" s="254">
        <f t="shared" si="5"/>
        <v>9.0387600251146713E-2</v>
      </c>
      <c r="P27" s="254">
        <f t="shared" si="5"/>
        <v>8.5121503878147764E-2</v>
      </c>
      <c r="Q27" s="254">
        <f t="shared" si="5"/>
        <v>7.9822156563950336E-2</v>
      </c>
      <c r="R27" s="254">
        <f t="shared" si="5"/>
        <v>7.5699132306866743E-2</v>
      </c>
      <c r="S27" s="254">
        <f t="shared" si="5"/>
        <v>7.0648063363307451E-2</v>
      </c>
      <c r="T27" s="254">
        <f t="shared" si="5"/>
        <v>6.5304469508482815E-2</v>
      </c>
      <c r="U27" s="254">
        <f t="shared" si="5"/>
        <v>6.2178924571006849E-2</v>
      </c>
      <c r="V27" s="254">
        <f t="shared" si="5"/>
        <v>5.5745186078936089E-2</v>
      </c>
      <c r="W27" s="390">
        <f t="shared" si="5"/>
        <v>4.9272336100354815E-2</v>
      </c>
    </row>
    <row r="28" spans="1:34" ht="37.9" customHeight="1" x14ac:dyDescent="0.25"/>
    <row r="30" spans="1:34" ht="52.5" customHeight="1" thickBot="1" x14ac:dyDescent="0.3">
      <c r="A30" s="588" t="s">
        <v>212</v>
      </c>
      <c r="B30" s="588"/>
      <c r="C30" s="588"/>
      <c r="D30" s="588"/>
      <c r="E30" s="588"/>
      <c r="F30" s="588"/>
      <c r="G30" s="588"/>
      <c r="H30" s="588"/>
      <c r="I30" s="588"/>
      <c r="J30" s="588"/>
      <c r="K30" s="588"/>
      <c r="L30" s="588"/>
      <c r="M30" s="588"/>
      <c r="N30" s="588"/>
      <c r="O30" s="588"/>
      <c r="P30" s="588"/>
      <c r="Q30" s="588"/>
      <c r="R30" s="588"/>
    </row>
    <row r="31" spans="1:34" ht="49.9" customHeight="1" x14ac:dyDescent="0.25">
      <c r="A31" s="581" t="s">
        <v>213</v>
      </c>
      <c r="B31" s="582"/>
      <c r="C31" s="582"/>
      <c r="D31" s="583"/>
    </row>
    <row r="32" spans="1:34" x14ac:dyDescent="0.25">
      <c r="A32" s="385"/>
      <c r="B32" s="1">
        <v>1999</v>
      </c>
      <c r="C32" s="1">
        <v>2000</v>
      </c>
      <c r="D32" s="335">
        <v>2001</v>
      </c>
    </row>
    <row r="33" spans="1:4" x14ac:dyDescent="0.25">
      <c r="A33" s="385" t="s">
        <v>176</v>
      </c>
      <c r="B33" s="20">
        <f t="shared" ref="B33:B42" si="6">B46*B58</f>
        <v>640.80000000000007</v>
      </c>
      <c r="C33" s="20">
        <f t="shared" ref="C33:C42" si="7">C46*B58</f>
        <v>820.80000000000007</v>
      </c>
      <c r="D33" s="402">
        <f t="shared" ref="D33:D42" si="8">D46*B58</f>
        <v>1108.8</v>
      </c>
    </row>
    <row r="34" spans="1:4" ht="20.65" customHeight="1" x14ac:dyDescent="0.25">
      <c r="A34" s="385" t="s">
        <v>170</v>
      </c>
      <c r="B34" s="20">
        <f t="shared" si="6"/>
        <v>740</v>
      </c>
      <c r="C34" s="20">
        <f t="shared" si="7"/>
        <v>792</v>
      </c>
      <c r="D34" s="402">
        <f t="shared" si="8"/>
        <v>948</v>
      </c>
    </row>
    <row r="35" spans="1:4" x14ac:dyDescent="0.25">
      <c r="A35" s="385" t="s">
        <v>162</v>
      </c>
      <c r="B35" s="20">
        <f t="shared" si="6"/>
        <v>13371</v>
      </c>
      <c r="C35" s="20">
        <f t="shared" si="7"/>
        <v>20812.5</v>
      </c>
      <c r="D35" s="402">
        <f t="shared" si="8"/>
        <v>27420</v>
      </c>
    </row>
    <row r="36" spans="1:4" x14ac:dyDescent="0.25">
      <c r="A36" s="385" t="s">
        <v>164</v>
      </c>
      <c r="B36" s="20">
        <f t="shared" si="6"/>
        <v>12185.380228136883</v>
      </c>
      <c r="C36" s="20">
        <f t="shared" si="7"/>
        <v>13346</v>
      </c>
      <c r="D36" s="402">
        <f t="shared" si="8"/>
        <v>14723</v>
      </c>
    </row>
    <row r="37" spans="1:4" x14ac:dyDescent="0.25">
      <c r="A37" s="385" t="s">
        <v>166</v>
      </c>
      <c r="B37" s="20">
        <f t="shared" si="6"/>
        <v>5337</v>
      </c>
      <c r="C37" s="20">
        <f t="shared" si="7"/>
        <v>6035</v>
      </c>
      <c r="D37" s="402">
        <f t="shared" si="8"/>
        <v>6911</v>
      </c>
    </row>
    <row r="38" spans="1:4" x14ac:dyDescent="0.25">
      <c r="A38" s="385" t="s">
        <v>167</v>
      </c>
      <c r="B38" s="20">
        <f t="shared" si="6"/>
        <v>15906</v>
      </c>
      <c r="C38" s="20">
        <f t="shared" si="7"/>
        <v>15549</v>
      </c>
      <c r="D38" s="402">
        <f t="shared" si="8"/>
        <v>20622</v>
      </c>
    </row>
    <row r="39" spans="1:4" x14ac:dyDescent="0.25">
      <c r="A39" s="385" t="s">
        <v>214</v>
      </c>
      <c r="B39" s="20">
        <f t="shared" si="6"/>
        <v>273</v>
      </c>
      <c r="C39" s="20">
        <f t="shared" si="7"/>
        <v>271.40000000000003</v>
      </c>
      <c r="D39" s="402">
        <f t="shared" si="8"/>
        <v>268.60000000000002</v>
      </c>
    </row>
    <row r="40" spans="1:4" x14ac:dyDescent="0.25">
      <c r="A40" s="385" t="s">
        <v>168</v>
      </c>
      <c r="B40" s="20">
        <f t="shared" si="6"/>
        <v>3976.7551181102363</v>
      </c>
      <c r="C40" s="20">
        <f t="shared" si="7"/>
        <v>3206.0076454152909</v>
      </c>
      <c r="D40" s="402">
        <f t="shared" si="8"/>
        <v>3109.0499999999997</v>
      </c>
    </row>
    <row r="41" spans="1:4" x14ac:dyDescent="0.25">
      <c r="A41" s="385" t="s">
        <v>215</v>
      </c>
      <c r="B41" s="20">
        <f t="shared" si="6"/>
        <v>30668.2</v>
      </c>
      <c r="C41" s="20">
        <f t="shared" si="7"/>
        <v>26731.75</v>
      </c>
      <c r="D41" s="402">
        <f t="shared" si="8"/>
        <v>28727</v>
      </c>
    </row>
    <row r="42" spans="1:4" x14ac:dyDescent="0.25">
      <c r="A42" s="385" t="s">
        <v>216</v>
      </c>
      <c r="B42" s="20">
        <f t="shared" si="6"/>
        <v>762.2</v>
      </c>
      <c r="C42" s="20">
        <f t="shared" si="7"/>
        <v>678.58</v>
      </c>
      <c r="D42" s="402">
        <f t="shared" si="8"/>
        <v>594.96</v>
      </c>
    </row>
    <row r="43" spans="1:4" x14ac:dyDescent="0.25">
      <c r="A43" s="385" t="s">
        <v>192</v>
      </c>
      <c r="B43" s="336">
        <f>SUM(B33:B42)</f>
        <v>83860.335346247113</v>
      </c>
      <c r="C43" s="336">
        <f t="shared" ref="C43:D43" si="9">SUM(C33:C42)</f>
        <v>88243.037645415301</v>
      </c>
      <c r="D43" s="337">
        <f t="shared" si="9"/>
        <v>104432.41000000002</v>
      </c>
    </row>
    <row r="44" spans="1:4" ht="91.9" customHeight="1" x14ac:dyDescent="0.25">
      <c r="A44" s="385"/>
      <c r="B44" s="20"/>
      <c r="D44" s="386"/>
    </row>
    <row r="45" spans="1:4" x14ac:dyDescent="0.25">
      <c r="A45" s="338" t="s">
        <v>217</v>
      </c>
      <c r="D45" s="386"/>
    </row>
    <row r="46" spans="1:4" x14ac:dyDescent="0.25">
      <c r="A46" s="385" t="s">
        <v>218</v>
      </c>
      <c r="B46" s="246">
        <v>89</v>
      </c>
      <c r="C46" s="246">
        <v>114</v>
      </c>
      <c r="D46" s="339">
        <v>154</v>
      </c>
    </row>
    <row r="47" spans="1:4" x14ac:dyDescent="0.25">
      <c r="A47" s="385" t="s">
        <v>170</v>
      </c>
      <c r="B47">
        <v>185</v>
      </c>
      <c r="C47">
        <v>198</v>
      </c>
      <c r="D47" s="386">
        <v>237</v>
      </c>
    </row>
    <row r="48" spans="1:4" x14ac:dyDescent="0.25">
      <c r="A48" s="385" t="s">
        <v>162</v>
      </c>
      <c r="B48" s="246">
        <v>8914</v>
      </c>
      <c r="C48" s="246">
        <v>13875</v>
      </c>
      <c r="D48" s="339">
        <v>18280</v>
      </c>
    </row>
    <row r="49" spans="1:4" x14ac:dyDescent="0.25">
      <c r="A49" s="385" t="s">
        <v>164</v>
      </c>
      <c r="B49" s="340">
        <f>17323*13875/19725</f>
        <v>12185.380228136883</v>
      </c>
      <c r="C49" s="246">
        <v>13346</v>
      </c>
      <c r="D49" s="339">
        <v>14723</v>
      </c>
    </row>
    <row r="50" spans="1:4" x14ac:dyDescent="0.25">
      <c r="A50" s="385" t="s">
        <v>166</v>
      </c>
      <c r="B50" s="246">
        <v>5337</v>
      </c>
      <c r="C50" s="246">
        <v>6035</v>
      </c>
      <c r="D50" s="339">
        <v>6911</v>
      </c>
    </row>
    <row r="51" spans="1:4" x14ac:dyDescent="0.25">
      <c r="A51" s="385" t="s">
        <v>167</v>
      </c>
      <c r="B51">
        <v>5302</v>
      </c>
      <c r="C51">
        <v>5183</v>
      </c>
      <c r="D51" s="386">
        <v>6874</v>
      </c>
    </row>
    <row r="52" spans="1:4" x14ac:dyDescent="0.25">
      <c r="A52" s="385" t="s">
        <v>214</v>
      </c>
      <c r="B52" s="246">
        <v>2730</v>
      </c>
      <c r="C52" s="246">
        <v>2714</v>
      </c>
      <c r="D52" s="339">
        <v>2686</v>
      </c>
    </row>
    <row r="53" spans="1:4" x14ac:dyDescent="0.25">
      <c r="A53" s="385" t="s">
        <v>168</v>
      </c>
      <c r="B53" s="340">
        <f>45322*(D53/35433)</f>
        <v>26511.700787401576</v>
      </c>
      <c r="C53" s="340">
        <f>36538*D53/35433</f>
        <v>21373.384302768605</v>
      </c>
      <c r="D53" s="341">
        <v>20727</v>
      </c>
    </row>
    <row r="54" spans="1:4" x14ac:dyDescent="0.25">
      <c r="A54" s="385" t="s">
        <v>215</v>
      </c>
      <c r="B54" s="20">
        <v>133340</v>
      </c>
      <c r="C54">
        <v>116225</v>
      </c>
      <c r="D54" s="386">
        <v>124900</v>
      </c>
    </row>
    <row r="55" spans="1:4" x14ac:dyDescent="0.25">
      <c r="A55" s="385" t="s">
        <v>216</v>
      </c>
      <c r="B55" s="20">
        <v>2060</v>
      </c>
      <c r="C55">
        <v>1834</v>
      </c>
      <c r="D55" s="386">
        <v>1608</v>
      </c>
    </row>
    <row r="56" spans="1:4" ht="120" x14ac:dyDescent="0.25">
      <c r="A56" s="385"/>
      <c r="B56" s="371" t="s">
        <v>219</v>
      </c>
      <c r="C56" s="48" t="s">
        <v>220</v>
      </c>
      <c r="D56" s="403" t="s">
        <v>221</v>
      </c>
    </row>
    <row r="57" spans="1:4" x14ac:dyDescent="0.25">
      <c r="A57" s="338" t="s">
        <v>222</v>
      </c>
      <c r="D57" s="386"/>
    </row>
    <row r="58" spans="1:4" x14ac:dyDescent="0.25">
      <c r="A58" s="385" t="s">
        <v>223</v>
      </c>
      <c r="B58">
        <v>7.2</v>
      </c>
      <c r="D58" s="386"/>
    </row>
    <row r="59" spans="1:4" x14ac:dyDescent="0.25">
      <c r="A59" s="385" t="s">
        <v>170</v>
      </c>
      <c r="B59">
        <v>4</v>
      </c>
      <c r="D59" s="386"/>
    </row>
    <row r="60" spans="1:4" x14ac:dyDescent="0.25">
      <c r="A60" s="385" t="s">
        <v>162</v>
      </c>
      <c r="B60">
        <v>1.5</v>
      </c>
      <c r="D60" s="386"/>
    </row>
    <row r="61" spans="1:4" x14ac:dyDescent="0.25">
      <c r="A61" s="385" t="s">
        <v>164</v>
      </c>
      <c r="B61">
        <v>1</v>
      </c>
      <c r="D61" s="386"/>
    </row>
    <row r="62" spans="1:4" x14ac:dyDescent="0.25">
      <c r="A62" s="385" t="s">
        <v>166</v>
      </c>
      <c r="B62">
        <v>1</v>
      </c>
      <c r="D62" s="386"/>
    </row>
    <row r="63" spans="1:4" x14ac:dyDescent="0.25">
      <c r="A63" s="385" t="s">
        <v>167</v>
      </c>
      <c r="B63">
        <v>3</v>
      </c>
      <c r="D63" s="386"/>
    </row>
    <row r="64" spans="1:4" x14ac:dyDescent="0.25">
      <c r="A64" s="385" t="s">
        <v>214</v>
      </c>
      <c r="B64">
        <v>0.1</v>
      </c>
      <c r="D64" s="386"/>
    </row>
    <row r="65" spans="1:4" x14ac:dyDescent="0.25">
      <c r="A65" s="385" t="s">
        <v>168</v>
      </c>
      <c r="B65">
        <v>0.15</v>
      </c>
      <c r="D65" s="386"/>
    </row>
    <row r="66" spans="1:4" x14ac:dyDescent="0.25">
      <c r="A66" s="385" t="s">
        <v>224</v>
      </c>
      <c r="B66">
        <v>0.23</v>
      </c>
      <c r="D66" s="386"/>
    </row>
    <row r="67" spans="1:4" x14ac:dyDescent="0.25">
      <c r="A67" s="385" t="s">
        <v>216</v>
      </c>
      <c r="B67">
        <v>0.37</v>
      </c>
      <c r="D67" s="386"/>
    </row>
    <row r="68" spans="1:4" x14ac:dyDescent="0.25">
      <c r="A68" s="385" t="s">
        <v>225</v>
      </c>
      <c r="D68" s="386"/>
    </row>
    <row r="69" spans="1:4" x14ac:dyDescent="0.25">
      <c r="A69" s="385"/>
      <c r="D69" s="386"/>
    </row>
    <row r="70" spans="1:4" x14ac:dyDescent="0.25">
      <c r="A70" s="385" t="s">
        <v>226</v>
      </c>
      <c r="D70" s="386"/>
    </row>
    <row r="71" spans="1:4" x14ac:dyDescent="0.25">
      <c r="A71" s="385" t="s">
        <v>162</v>
      </c>
      <c r="B71">
        <v>8914</v>
      </c>
      <c r="D71" s="386"/>
    </row>
    <row r="72" spans="1:4" x14ac:dyDescent="0.25">
      <c r="A72" s="385" t="s">
        <v>166</v>
      </c>
      <c r="B72">
        <v>5337</v>
      </c>
      <c r="D72" s="386"/>
    </row>
    <row r="73" spans="1:4" x14ac:dyDescent="0.25">
      <c r="A73" s="385" t="s">
        <v>170</v>
      </c>
      <c r="B73">
        <v>223</v>
      </c>
      <c r="D73" s="386"/>
    </row>
    <row r="74" spans="1:4" x14ac:dyDescent="0.25">
      <c r="A74" s="385" t="s">
        <v>214</v>
      </c>
      <c r="B74">
        <v>2730</v>
      </c>
      <c r="D74" s="386"/>
    </row>
    <row r="75" spans="1:4" ht="13.9" customHeight="1" thickBot="1" x14ac:dyDescent="0.3">
      <c r="A75" s="389" t="s">
        <v>176</v>
      </c>
      <c r="B75" s="254">
        <v>89</v>
      </c>
      <c r="C75" s="254"/>
      <c r="D75" s="390"/>
    </row>
  </sheetData>
  <mergeCells count="7">
    <mergeCell ref="A7:C7"/>
    <mergeCell ref="B15:D15"/>
    <mergeCell ref="A31:D31"/>
    <mergeCell ref="A24:C24"/>
    <mergeCell ref="A19:N19"/>
    <mergeCell ref="A30:R30"/>
    <mergeCell ref="B18:D1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398"/>
  <sheetViews>
    <sheetView zoomScale="85" zoomScaleNormal="85" workbookViewId="0"/>
  </sheetViews>
  <sheetFormatPr defaultColWidth="8.7109375" defaultRowHeight="15" x14ac:dyDescent="0.25"/>
  <cols>
    <col min="1" max="1" width="20.42578125" customWidth="1"/>
    <col min="2" max="2" width="11.7109375" customWidth="1"/>
    <col min="4" max="4" width="7.7109375" customWidth="1"/>
    <col min="9" max="9" width="10.42578125" customWidth="1"/>
    <col min="10" max="10" width="9.42578125" customWidth="1"/>
    <col min="11" max="11" width="10" customWidth="1"/>
    <col min="12" max="12" width="10.42578125" customWidth="1"/>
    <col min="14" max="14" width="10.42578125" customWidth="1"/>
    <col min="16" max="16" width="6" bestFit="1" customWidth="1"/>
    <col min="18" max="18" width="8.42578125" customWidth="1"/>
    <col min="19" max="19" width="12.42578125" bestFit="1" customWidth="1"/>
    <col min="20" max="20" width="13.28515625" customWidth="1"/>
    <col min="21" max="21" width="10" customWidth="1"/>
    <col min="22" max="22" width="14.42578125" customWidth="1"/>
    <col min="23" max="23" width="11.42578125" customWidth="1"/>
    <col min="24" max="24" width="14.42578125" customWidth="1"/>
    <col min="25" max="25" width="14.140625" customWidth="1"/>
    <col min="26" max="26" width="8.42578125" bestFit="1" customWidth="1"/>
    <col min="27" max="27" width="12.42578125" bestFit="1" customWidth="1"/>
    <col min="28" max="28" width="15.42578125" bestFit="1" customWidth="1"/>
    <col min="29" max="29" width="14.42578125" bestFit="1" customWidth="1"/>
  </cols>
  <sheetData>
    <row r="1" spans="1:33" x14ac:dyDescent="0.25">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c r="W1" s="4">
        <v>2020</v>
      </c>
    </row>
    <row r="2" spans="1:33" ht="45" x14ac:dyDescent="0.25">
      <c r="A2" s="77" t="s">
        <v>2</v>
      </c>
      <c r="B2" s="20">
        <f t="shared" ref="B2:D2" si="0">B52</f>
        <v>2870.7596401028277</v>
      </c>
      <c r="C2" s="20">
        <f t="shared" si="0"/>
        <v>2618.6778214102783</v>
      </c>
      <c r="D2" s="20">
        <f t="shared" si="0"/>
        <v>2394.2800057496047</v>
      </c>
      <c r="E2" s="20">
        <f t="shared" ref="E2:V2" si="1">E52</f>
        <v>2679.8392935019624</v>
      </c>
      <c r="F2" s="20">
        <f t="shared" si="1"/>
        <v>2606.3050053663774</v>
      </c>
      <c r="G2" s="20">
        <f t="shared" si="1"/>
        <v>2237.1267765280322</v>
      </c>
      <c r="H2" s="20">
        <f t="shared" si="1"/>
        <v>2330.7795319317729</v>
      </c>
      <c r="I2" s="20">
        <f t="shared" si="1"/>
        <v>2263.1599739668077</v>
      </c>
      <c r="J2" s="20">
        <f t="shared" si="1"/>
        <v>2697.3812016801608</v>
      </c>
      <c r="K2" s="20">
        <f t="shared" si="1"/>
        <v>3433.6430381204655</v>
      </c>
      <c r="L2" s="20">
        <f t="shared" si="1"/>
        <v>3615.2430710590797</v>
      </c>
      <c r="M2" s="20">
        <f t="shared" si="1"/>
        <v>3294.4584440623207</v>
      </c>
      <c r="N2" s="20">
        <f t="shared" si="1"/>
        <v>4814.9048011239765</v>
      </c>
      <c r="O2" s="20">
        <f t="shared" si="1"/>
        <v>6441.6934894968945</v>
      </c>
      <c r="P2" s="20">
        <f t="shared" si="1"/>
        <v>8691.5731087368604</v>
      </c>
      <c r="Q2" s="20">
        <f t="shared" si="1"/>
        <v>10045.523392673238</v>
      </c>
      <c r="R2" s="20">
        <f t="shared" si="1"/>
        <v>10780.562671806376</v>
      </c>
      <c r="S2" s="20">
        <f t="shared" si="1"/>
        <v>10031.407789036748</v>
      </c>
      <c r="T2" s="20">
        <f t="shared" si="1"/>
        <v>7603.2975937948622</v>
      </c>
      <c r="U2" s="20">
        <f t="shared" si="1"/>
        <v>6055.7969314665343</v>
      </c>
      <c r="V2" s="20">
        <f t="shared" si="1"/>
        <v>5344.9308817282599</v>
      </c>
      <c r="W2" s="20">
        <f t="shared" ref="W2" si="2">W52</f>
        <v>4203.4933265037316</v>
      </c>
    </row>
    <row r="3" spans="1:33" ht="31.9" customHeight="1" x14ac:dyDescent="0.25">
      <c r="A3" s="77" t="s">
        <v>3</v>
      </c>
      <c r="B3" s="20">
        <f t="shared" ref="B3:D3" si="3">B53</f>
        <v>4098.1241278002208</v>
      </c>
      <c r="C3" s="20">
        <f t="shared" si="3"/>
        <v>4665.3283250811</v>
      </c>
      <c r="D3" s="20">
        <f t="shared" si="3"/>
        <v>5784.2417708782523</v>
      </c>
      <c r="E3" s="20">
        <f t="shared" ref="E3:V3" si="4">E53</f>
        <v>7542.8179241168773</v>
      </c>
      <c r="F3" s="20">
        <f t="shared" si="4"/>
        <v>8574.2373890135623</v>
      </c>
      <c r="G3" s="20">
        <f t="shared" si="4"/>
        <v>9535.136803557416</v>
      </c>
      <c r="H3" s="20">
        <f t="shared" si="4"/>
        <v>10534.791193970646</v>
      </c>
      <c r="I3" s="20">
        <f t="shared" si="4"/>
        <v>12213.27959648552</v>
      </c>
      <c r="J3" s="20">
        <f t="shared" si="4"/>
        <v>13350.172399099045</v>
      </c>
      <c r="K3" s="20">
        <f t="shared" si="4"/>
        <v>13585.234135667397</v>
      </c>
      <c r="L3" s="20">
        <f t="shared" si="4"/>
        <v>13542.390634358835</v>
      </c>
      <c r="M3" s="20">
        <f t="shared" si="4"/>
        <v>14509.050440310562</v>
      </c>
      <c r="N3" s="20">
        <f t="shared" si="4"/>
        <v>15049.067971513008</v>
      </c>
      <c r="O3" s="20">
        <f t="shared" si="4"/>
        <v>13854.762198302433</v>
      </c>
      <c r="P3" s="20">
        <f t="shared" si="4"/>
        <v>13006.523134585559</v>
      </c>
      <c r="Q3" s="20">
        <f t="shared" si="4"/>
        <v>12728.554877151684</v>
      </c>
      <c r="R3" s="20">
        <f t="shared" si="4"/>
        <v>12254.54968561408</v>
      </c>
      <c r="S3" s="20">
        <f t="shared" si="4"/>
        <v>12132.595043340252</v>
      </c>
      <c r="T3" s="20">
        <f t="shared" si="4"/>
        <v>10843.240084849263</v>
      </c>
      <c r="U3" s="20">
        <f t="shared" si="4"/>
        <v>8871.7119300599425</v>
      </c>
      <c r="V3" s="20">
        <f t="shared" si="4"/>
        <v>7633.7305661751316</v>
      </c>
      <c r="W3" s="20">
        <f t="shared" ref="W3" si="5">W53</f>
        <v>7311.3899312161566</v>
      </c>
    </row>
    <row r="4" spans="1:33" ht="45" customHeight="1" x14ac:dyDescent="0.25">
      <c r="A4" s="77" t="s">
        <v>227</v>
      </c>
      <c r="B4" s="20">
        <f t="shared" ref="B4:D4" si="6">B54</f>
        <v>1058.5833639368343</v>
      </c>
      <c r="C4" s="20">
        <f t="shared" si="6"/>
        <v>1098.062489329008</v>
      </c>
      <c r="D4" s="20">
        <f t="shared" si="6"/>
        <v>1286.6011211729194</v>
      </c>
      <c r="E4" s="20">
        <f t="shared" ref="E4:V4" si="7">E54</f>
        <v>1664.3349324029655</v>
      </c>
      <c r="F4" s="20">
        <f t="shared" si="7"/>
        <v>1751.0321006927504</v>
      </c>
      <c r="G4" s="20">
        <f t="shared" si="7"/>
        <v>1987.0878890923359</v>
      </c>
      <c r="H4" s="20">
        <f t="shared" si="7"/>
        <v>2029.3447044823483</v>
      </c>
      <c r="I4" s="20">
        <f t="shared" si="7"/>
        <v>2971.7568499837294</v>
      </c>
      <c r="J4" s="20">
        <f t="shared" si="7"/>
        <v>2487.195653497291</v>
      </c>
      <c r="K4" s="20">
        <f t="shared" si="7"/>
        <v>2582.8688817229067</v>
      </c>
      <c r="L4" s="20">
        <f t="shared" si="7"/>
        <v>3256.2827661312276</v>
      </c>
      <c r="M4" s="20">
        <f t="shared" si="7"/>
        <v>3265.8301287061645</v>
      </c>
      <c r="N4" s="20">
        <f t="shared" si="7"/>
        <v>2905.5460006782619</v>
      </c>
      <c r="O4" s="20">
        <f t="shared" si="7"/>
        <v>2822.7150647256863</v>
      </c>
      <c r="P4" s="20">
        <f t="shared" si="7"/>
        <v>3137.7520248147512</v>
      </c>
      <c r="Q4" s="20">
        <f t="shared" si="7"/>
        <v>4784.0352729145216</v>
      </c>
      <c r="R4" s="20">
        <f t="shared" si="7"/>
        <v>7256.6321526746497</v>
      </c>
      <c r="S4" s="20">
        <f t="shared" si="7"/>
        <v>14188.194408497131</v>
      </c>
      <c r="T4" s="20">
        <f t="shared" si="7"/>
        <v>21041.159135223159</v>
      </c>
      <c r="U4" s="20">
        <f t="shared" si="7"/>
        <v>22833.065374045142</v>
      </c>
      <c r="V4" s="20">
        <f t="shared" si="7"/>
        <v>28216.687905819526</v>
      </c>
      <c r="W4" s="20">
        <f t="shared" ref="W4" si="8">W54</f>
        <v>48354.828376994003</v>
      </c>
    </row>
    <row r="5" spans="1:33" ht="45" x14ac:dyDescent="0.25">
      <c r="A5" s="77" t="s">
        <v>4</v>
      </c>
      <c r="B5" s="20">
        <f>B55</f>
        <v>35.532868160117516</v>
      </c>
      <c r="C5" s="20">
        <f>C55</f>
        <v>35.931364179614135</v>
      </c>
      <c r="D5" s="20">
        <f>D55</f>
        <v>36.877102199223806</v>
      </c>
      <c r="E5" s="20">
        <f t="shared" ref="E5:V5" si="9">E55</f>
        <v>39.007849978194507</v>
      </c>
      <c r="F5" s="20">
        <f t="shared" si="9"/>
        <v>35.42550492730998</v>
      </c>
      <c r="G5" s="20">
        <f t="shared" si="9"/>
        <v>27.648530822216408</v>
      </c>
      <c r="H5" s="20">
        <f t="shared" si="9"/>
        <v>64.084569615232056</v>
      </c>
      <c r="I5" s="20">
        <f t="shared" si="9"/>
        <v>140.80357956394403</v>
      </c>
      <c r="J5" s="20">
        <f t="shared" si="9"/>
        <v>28.250745723503986</v>
      </c>
      <c r="K5" s="20">
        <f t="shared" si="9"/>
        <v>45.253944489231834</v>
      </c>
      <c r="L5" s="20">
        <f t="shared" si="9"/>
        <v>59.083528450857607</v>
      </c>
      <c r="M5" s="20">
        <f t="shared" si="9"/>
        <v>61.660986920952531</v>
      </c>
      <c r="N5" s="20">
        <f t="shared" si="9"/>
        <v>77.481226684753651</v>
      </c>
      <c r="O5" s="20">
        <f t="shared" si="9"/>
        <v>106.82924747498696</v>
      </c>
      <c r="P5" s="20">
        <f t="shared" si="9"/>
        <v>279.15173186282959</v>
      </c>
      <c r="Q5" s="20">
        <f t="shared" si="9"/>
        <v>1160.8864572605562</v>
      </c>
      <c r="R5" s="20">
        <f t="shared" si="9"/>
        <v>2911.2554899048941</v>
      </c>
      <c r="S5" s="20">
        <f t="shared" si="9"/>
        <v>6080.8027591258697</v>
      </c>
      <c r="T5" s="20">
        <f t="shared" si="9"/>
        <v>8394.3031861327163</v>
      </c>
      <c r="U5" s="20">
        <f t="shared" si="9"/>
        <v>9335.4257644283825</v>
      </c>
      <c r="V5" s="20">
        <f t="shared" si="9"/>
        <v>8982.6506462770794</v>
      </c>
      <c r="W5" s="20">
        <f t="shared" ref="W5" si="10">W55</f>
        <v>9191.288365286111</v>
      </c>
    </row>
    <row r="6" spans="1:33" ht="30" x14ac:dyDescent="0.25">
      <c r="A6" s="77" t="s">
        <v>228</v>
      </c>
      <c r="B6" s="20">
        <f t="shared" ref="B6:U6" si="11">SUM(B2:B5)</f>
        <v>8063.0000000000009</v>
      </c>
      <c r="C6" s="20">
        <f t="shared" si="11"/>
        <v>8418</v>
      </c>
      <c r="D6" s="20">
        <f t="shared" si="11"/>
        <v>9502</v>
      </c>
      <c r="E6" s="20">
        <f t="shared" si="11"/>
        <v>11926</v>
      </c>
      <c r="F6" s="20">
        <f t="shared" si="11"/>
        <v>12967</v>
      </c>
      <c r="G6" s="20">
        <f t="shared" si="11"/>
        <v>13787</v>
      </c>
      <c r="H6" s="20">
        <f t="shared" si="11"/>
        <v>14959</v>
      </c>
      <c r="I6" s="20">
        <f t="shared" si="11"/>
        <v>17589</v>
      </c>
      <c r="J6" s="20">
        <f t="shared" si="11"/>
        <v>18563</v>
      </c>
      <c r="K6" s="20">
        <f t="shared" si="11"/>
        <v>19647</v>
      </c>
      <c r="L6" s="20">
        <f t="shared" si="11"/>
        <v>20473</v>
      </c>
      <c r="M6" s="20">
        <f t="shared" si="11"/>
        <v>21131.000000000004</v>
      </c>
      <c r="N6" s="20">
        <f t="shared" si="11"/>
        <v>22847.000000000004</v>
      </c>
      <c r="O6" s="20">
        <f t="shared" si="11"/>
        <v>23226</v>
      </c>
      <c r="P6" s="20">
        <f t="shared" si="11"/>
        <v>25115</v>
      </c>
      <c r="Q6" s="20">
        <f t="shared" si="11"/>
        <v>28719.000000000004</v>
      </c>
      <c r="R6" s="20">
        <f t="shared" si="11"/>
        <v>33203</v>
      </c>
      <c r="S6" s="20">
        <f t="shared" si="11"/>
        <v>42433.000000000007</v>
      </c>
      <c r="T6" s="20">
        <f t="shared" si="11"/>
        <v>47882</v>
      </c>
      <c r="U6" s="20">
        <f t="shared" si="11"/>
        <v>47096</v>
      </c>
      <c r="V6" s="20">
        <f>SUM(V2:V5)</f>
        <v>50178</v>
      </c>
      <c r="W6" s="20">
        <f>SUM(W2:W5)</f>
        <v>69061</v>
      </c>
    </row>
    <row r="7" spans="1:33" s="17" customFormat="1" ht="87.75" customHeight="1" x14ac:dyDescent="0.25">
      <c r="A7" s="593" t="s">
        <v>501</v>
      </c>
      <c r="B7" s="593"/>
      <c r="C7" s="593"/>
      <c r="D7" s="593"/>
      <c r="E7" s="593"/>
      <c r="F7" s="593"/>
      <c r="G7" s="593"/>
      <c r="H7" s="593"/>
      <c r="I7" s="593"/>
      <c r="J7" s="16"/>
      <c r="K7" s="16"/>
      <c r="L7" s="16"/>
      <c r="M7" s="16"/>
      <c r="N7" s="16"/>
      <c r="O7" s="16"/>
      <c r="P7" s="16"/>
      <c r="Q7" s="16"/>
      <c r="R7" s="16"/>
      <c r="S7" s="16"/>
      <c r="T7" s="16"/>
      <c r="U7" s="16"/>
      <c r="V7" s="16"/>
    </row>
    <row r="8" spans="1:33" x14ac:dyDescent="0.25">
      <c r="A8" s="594" t="s">
        <v>229</v>
      </c>
      <c r="B8" s="595"/>
      <c r="C8" s="595"/>
      <c r="D8" s="595"/>
      <c r="E8" s="595"/>
      <c r="F8" s="595"/>
      <c r="G8" s="595"/>
      <c r="H8" s="595"/>
      <c r="I8" s="595"/>
      <c r="J8" s="595"/>
      <c r="K8" s="595"/>
      <c r="L8" s="595"/>
      <c r="M8" s="596"/>
      <c r="N8" s="597"/>
      <c r="O8" s="2"/>
      <c r="P8" s="2"/>
      <c r="Q8" s="2"/>
      <c r="R8" s="2"/>
      <c r="S8" s="2"/>
      <c r="T8" s="2"/>
      <c r="U8" s="2"/>
      <c r="V8" s="2"/>
    </row>
    <row r="9" spans="1:33" ht="15.75" x14ac:dyDescent="0.25">
      <c r="A9" s="5"/>
      <c r="B9" s="598" t="s">
        <v>230</v>
      </c>
      <c r="C9" s="599"/>
      <c r="D9" s="599"/>
      <c r="E9" s="599"/>
      <c r="F9" s="599"/>
      <c r="G9" s="599"/>
      <c r="H9" s="599"/>
      <c r="I9" s="599"/>
      <c r="J9" s="599"/>
      <c r="K9" s="599"/>
      <c r="L9" s="599"/>
      <c r="M9" s="599"/>
      <c r="N9" s="596"/>
      <c r="O9" s="2"/>
      <c r="P9" s="2"/>
      <c r="Q9" s="2"/>
      <c r="R9" s="592" t="s">
        <v>231</v>
      </c>
      <c r="S9" s="592"/>
      <c r="T9" s="592"/>
      <c r="U9" s="592"/>
      <c r="V9" s="592" t="s">
        <v>232</v>
      </c>
      <c r="W9" s="592"/>
      <c r="X9" s="592"/>
      <c r="Y9" s="592"/>
      <c r="Z9" s="590" t="s">
        <v>233</v>
      </c>
      <c r="AA9" s="590"/>
      <c r="AB9" s="590"/>
      <c r="AC9" s="590"/>
      <c r="AD9" s="591" t="s">
        <v>234</v>
      </c>
      <c r="AE9" s="591"/>
      <c r="AF9" s="591"/>
      <c r="AG9" s="591"/>
    </row>
    <row r="10" spans="1:33" ht="60" x14ac:dyDescent="0.25">
      <c r="A10" s="6" t="s">
        <v>116</v>
      </c>
      <c r="B10" s="290" t="s">
        <v>235</v>
      </c>
      <c r="C10" s="291" t="s">
        <v>236</v>
      </c>
      <c r="D10" s="292" t="s">
        <v>237</v>
      </c>
      <c r="E10" s="291" t="s">
        <v>238</v>
      </c>
      <c r="F10" s="292" t="s">
        <v>239</v>
      </c>
      <c r="G10" s="292" t="s">
        <v>240</v>
      </c>
      <c r="H10" s="291" t="s">
        <v>241</v>
      </c>
      <c r="I10" s="292" t="s">
        <v>242</v>
      </c>
      <c r="J10" s="292" t="s">
        <v>243</v>
      </c>
      <c r="K10" s="292" t="s">
        <v>244</v>
      </c>
      <c r="L10" s="292" t="s">
        <v>245</v>
      </c>
      <c r="M10" s="291" t="s">
        <v>246</v>
      </c>
      <c r="N10" s="290" t="s">
        <v>247</v>
      </c>
      <c r="O10" s="7"/>
      <c r="P10" s="7"/>
      <c r="Q10" s="8" t="s">
        <v>248</v>
      </c>
      <c r="R10" s="184" t="s">
        <v>249</v>
      </c>
      <c r="S10" s="184" t="s">
        <v>250</v>
      </c>
      <c r="T10" s="184" t="s">
        <v>251</v>
      </c>
      <c r="U10" s="184" t="s">
        <v>252</v>
      </c>
      <c r="V10" s="184" t="s">
        <v>253</v>
      </c>
      <c r="W10" s="184" t="s">
        <v>254</v>
      </c>
      <c r="X10" s="184" t="s">
        <v>255</v>
      </c>
      <c r="Y10" s="184" t="s">
        <v>256</v>
      </c>
      <c r="Z10" s="184" t="s">
        <v>249</v>
      </c>
      <c r="AA10" s="184" t="s">
        <v>250</v>
      </c>
      <c r="AB10" s="184" t="s">
        <v>251</v>
      </c>
      <c r="AC10" s="184" t="s">
        <v>252</v>
      </c>
      <c r="AD10" s="325" t="s">
        <v>249</v>
      </c>
      <c r="AE10" s="325" t="s">
        <v>250</v>
      </c>
      <c r="AF10" s="325" t="s">
        <v>251</v>
      </c>
      <c r="AG10" s="325" t="s">
        <v>252</v>
      </c>
    </row>
    <row r="11" spans="1:33" x14ac:dyDescent="0.25">
      <c r="A11" s="225">
        <v>1999</v>
      </c>
      <c r="B11" s="295">
        <v>2608</v>
      </c>
      <c r="C11" s="293">
        <v>133</v>
      </c>
      <c r="D11" s="293">
        <v>528</v>
      </c>
      <c r="E11" s="293">
        <v>160</v>
      </c>
      <c r="F11" s="293">
        <v>3</v>
      </c>
      <c r="G11" s="293">
        <v>1319</v>
      </c>
      <c r="H11" s="293">
        <v>9</v>
      </c>
      <c r="I11" s="293">
        <v>92</v>
      </c>
      <c r="J11" s="293">
        <v>15</v>
      </c>
      <c r="K11" s="293">
        <v>564</v>
      </c>
      <c r="L11" s="293">
        <v>15</v>
      </c>
      <c r="M11" s="293">
        <v>2617</v>
      </c>
      <c r="N11" s="293">
        <v>8063</v>
      </c>
      <c r="O11" s="7"/>
      <c r="P11" s="7"/>
      <c r="Q11" s="11">
        <f>N11-SUM(R11:U11)</f>
        <v>2617</v>
      </c>
      <c r="R11" s="11">
        <f t="shared" ref="R11:R13" si="12">(B11+E11)</f>
        <v>2768</v>
      </c>
      <c r="S11" s="11">
        <f t="shared" ref="S11:S13" si="13">(G11+I11+D11)</f>
        <v>1939</v>
      </c>
      <c r="T11" s="11">
        <f t="shared" ref="T11:T13" si="14">(F11+K11+L11+C11)</f>
        <v>715</v>
      </c>
      <c r="U11" s="11">
        <f t="shared" ref="U11:U13" si="15">H11+J11</f>
        <v>24</v>
      </c>
      <c r="V11" s="296">
        <f t="shared" ref="V11:V13" si="16">R11/SUM($R11:$U11)</f>
        <v>0.50826294528094018</v>
      </c>
      <c r="W11" s="296">
        <f t="shared" ref="W11:Y14" si="17">S11/SUM($R11:$U11)</f>
        <v>0.35604113110539848</v>
      </c>
      <c r="X11" s="296">
        <f t="shared" si="17"/>
        <v>0.13128901946382665</v>
      </c>
      <c r="Y11" s="296">
        <f t="shared" si="17"/>
        <v>4.4069041498347415E-3</v>
      </c>
      <c r="Z11" s="11">
        <f t="shared" ref="Z11:AC14" si="18">V11*$M11</f>
        <v>1330.1241278002205</v>
      </c>
      <c r="AA11" s="11">
        <f t="shared" si="18"/>
        <v>931.7596401028278</v>
      </c>
      <c r="AB11" s="11">
        <f t="shared" si="18"/>
        <v>343.58336393683436</v>
      </c>
      <c r="AC11" s="11">
        <f t="shared" si="18"/>
        <v>11.532868160117518</v>
      </c>
      <c r="AD11" s="88">
        <f t="shared" ref="AD11:AD13" si="19">R11+Z11</f>
        <v>4098.1241278002208</v>
      </c>
      <c r="AE11" s="88">
        <f t="shared" ref="AE11:AE13" si="20">S11+AA11</f>
        <v>2870.7596401028277</v>
      </c>
      <c r="AF11" s="88">
        <f t="shared" ref="AF11:AF13" si="21">T11+AB11</f>
        <v>1058.5833639368343</v>
      </c>
      <c r="AG11" s="88">
        <f t="shared" ref="AG11:AG13" si="22">U11+AC11</f>
        <v>35.532868160117516</v>
      </c>
    </row>
    <row r="12" spans="1:33" x14ac:dyDescent="0.25">
      <c r="A12" s="225">
        <v>2000</v>
      </c>
      <c r="B12" s="283">
        <v>3060</v>
      </c>
      <c r="C12" s="294">
        <v>158</v>
      </c>
      <c r="D12" s="294">
        <v>371</v>
      </c>
      <c r="E12" s="294">
        <v>186</v>
      </c>
      <c r="F12" s="294">
        <v>5</v>
      </c>
      <c r="G12" s="294">
        <v>1357</v>
      </c>
      <c r="H12" s="294">
        <v>14</v>
      </c>
      <c r="I12" s="294">
        <v>94</v>
      </c>
      <c r="J12" s="294">
        <v>11</v>
      </c>
      <c r="K12" s="294">
        <v>577</v>
      </c>
      <c r="L12" s="294">
        <v>24</v>
      </c>
      <c r="M12" s="294">
        <v>2561</v>
      </c>
      <c r="N12" s="294">
        <v>8418</v>
      </c>
      <c r="O12" s="7"/>
      <c r="P12" s="7"/>
      <c r="Q12" s="11">
        <f t="shared" ref="Q12:Q30" si="23">N12-SUM(R12:U12)</f>
        <v>2561</v>
      </c>
      <c r="R12" s="11">
        <f t="shared" si="12"/>
        <v>3246</v>
      </c>
      <c r="S12" s="11">
        <f t="shared" si="13"/>
        <v>1822</v>
      </c>
      <c r="T12" s="11">
        <f t="shared" si="14"/>
        <v>764</v>
      </c>
      <c r="U12" s="11">
        <f t="shared" si="15"/>
        <v>25</v>
      </c>
      <c r="V12" s="296">
        <f t="shared" si="16"/>
        <v>0.55420863923510333</v>
      </c>
      <c r="W12" s="296">
        <f t="shared" si="17"/>
        <v>0.31108075806726992</v>
      </c>
      <c r="X12" s="296">
        <f t="shared" si="17"/>
        <v>0.13044220590746117</v>
      </c>
      <c r="Y12" s="296">
        <f t="shared" si="17"/>
        <v>4.2683967901656142E-3</v>
      </c>
      <c r="Z12" s="11">
        <f t="shared" si="18"/>
        <v>1419.3283250810996</v>
      </c>
      <c r="AA12" s="11">
        <f t="shared" ref="AA12:AC14" si="24">W12*$M12</f>
        <v>796.67782141027828</v>
      </c>
      <c r="AB12" s="11">
        <f t="shared" si="18"/>
        <v>334.06248932900803</v>
      </c>
      <c r="AC12" s="11">
        <f t="shared" si="24"/>
        <v>10.931364179614137</v>
      </c>
      <c r="AD12" s="88">
        <f t="shared" si="19"/>
        <v>4665.3283250811</v>
      </c>
      <c r="AE12" s="88">
        <f t="shared" si="20"/>
        <v>2618.6778214102783</v>
      </c>
      <c r="AF12" s="88">
        <f t="shared" si="21"/>
        <v>1098.062489329008</v>
      </c>
      <c r="AG12" s="88">
        <f t="shared" si="22"/>
        <v>35.931364179614135</v>
      </c>
    </row>
    <row r="13" spans="1:33" x14ac:dyDescent="0.25">
      <c r="A13" s="225">
        <v>2001</v>
      </c>
      <c r="B13" s="283">
        <v>4006</v>
      </c>
      <c r="C13" s="294">
        <v>183</v>
      </c>
      <c r="D13" s="294">
        <v>327</v>
      </c>
      <c r="E13" s="294">
        <v>229</v>
      </c>
      <c r="F13" s="294">
        <v>13</v>
      </c>
      <c r="G13" s="294">
        <v>1361</v>
      </c>
      <c r="H13" s="294">
        <v>11</v>
      </c>
      <c r="I13" s="294">
        <v>65</v>
      </c>
      <c r="J13" s="294">
        <v>16</v>
      </c>
      <c r="K13" s="294">
        <v>732</v>
      </c>
      <c r="L13" s="294">
        <v>14</v>
      </c>
      <c r="M13" s="294">
        <v>2545</v>
      </c>
      <c r="N13" s="294">
        <v>9502</v>
      </c>
      <c r="O13" s="7"/>
      <c r="P13" s="7"/>
      <c r="Q13" s="11">
        <f t="shared" si="23"/>
        <v>2545</v>
      </c>
      <c r="R13" s="11">
        <f t="shared" si="12"/>
        <v>4235</v>
      </c>
      <c r="S13" s="11">
        <f t="shared" si="13"/>
        <v>1753</v>
      </c>
      <c r="T13" s="11">
        <f t="shared" si="14"/>
        <v>942</v>
      </c>
      <c r="U13" s="11">
        <f t="shared" si="15"/>
        <v>27</v>
      </c>
      <c r="V13" s="296">
        <f t="shared" si="16"/>
        <v>0.60873939916630737</v>
      </c>
      <c r="W13" s="296">
        <f t="shared" si="17"/>
        <v>0.25197642662066982</v>
      </c>
      <c r="X13" s="296">
        <f t="shared" si="17"/>
        <v>0.13540319103061665</v>
      </c>
      <c r="Y13" s="296">
        <f t="shared" si="17"/>
        <v>3.8809831824062097E-3</v>
      </c>
      <c r="Z13" s="11">
        <f t="shared" si="18"/>
        <v>1549.2417708782523</v>
      </c>
      <c r="AA13" s="11">
        <f t="shared" si="18"/>
        <v>641.2800057496047</v>
      </c>
      <c r="AB13" s="11">
        <f t="shared" si="18"/>
        <v>344.60112117291936</v>
      </c>
      <c r="AC13" s="11">
        <f t="shared" si="18"/>
        <v>9.8771021992238044</v>
      </c>
      <c r="AD13" s="88">
        <f t="shared" si="19"/>
        <v>5784.2417708782523</v>
      </c>
      <c r="AE13" s="88">
        <f t="shared" si="20"/>
        <v>2394.2800057496047</v>
      </c>
      <c r="AF13" s="88">
        <f t="shared" si="21"/>
        <v>1286.6011211729194</v>
      </c>
      <c r="AG13" s="88">
        <f t="shared" si="22"/>
        <v>36.877102199223806</v>
      </c>
    </row>
    <row r="14" spans="1:33" x14ac:dyDescent="0.25">
      <c r="A14" s="225">
        <v>2002</v>
      </c>
      <c r="B14" s="284">
        <v>5549</v>
      </c>
      <c r="C14" s="285">
        <v>312</v>
      </c>
      <c r="D14" s="284">
        <v>350</v>
      </c>
      <c r="E14" s="286">
        <v>252</v>
      </c>
      <c r="F14" s="287">
        <v>6</v>
      </c>
      <c r="G14" s="284">
        <v>1622</v>
      </c>
      <c r="H14" s="288">
        <v>11</v>
      </c>
      <c r="I14" s="284">
        <v>89</v>
      </c>
      <c r="J14" s="289">
        <v>19</v>
      </c>
      <c r="K14" s="287">
        <v>937</v>
      </c>
      <c r="L14" s="287">
        <v>25</v>
      </c>
      <c r="M14" s="10">
        <v>2754</v>
      </c>
      <c r="N14" s="10">
        <v>11926</v>
      </c>
      <c r="O14" s="2"/>
      <c r="P14" s="8"/>
      <c r="Q14" s="11">
        <f t="shared" si="23"/>
        <v>2754</v>
      </c>
      <c r="R14" s="11">
        <f>(B14+E14)</f>
        <v>5801</v>
      </c>
      <c r="S14" s="11">
        <f>(G14+I14+D14)</f>
        <v>2061</v>
      </c>
      <c r="T14" s="11">
        <f>(F14+K14+L14+C14)</f>
        <v>1280</v>
      </c>
      <c r="U14" s="11">
        <f>H14+J14</f>
        <v>30</v>
      </c>
      <c r="V14" s="296">
        <f>R14/SUM($R14:$U14)</f>
        <v>0.63246838203227218</v>
      </c>
      <c r="W14" s="296">
        <f t="shared" si="17"/>
        <v>0.22470562581770606</v>
      </c>
      <c r="X14" s="296">
        <f t="shared" ref="X14:Y14" si="25">T14/SUM($R14:$U14)</f>
        <v>0.13955516790231137</v>
      </c>
      <c r="Y14" s="296">
        <f t="shared" si="25"/>
        <v>3.2708242477104232E-3</v>
      </c>
      <c r="Z14" s="11">
        <f>V14*$M14</f>
        <v>1741.8179241168775</v>
      </c>
      <c r="AA14" s="11">
        <f t="shared" si="24"/>
        <v>618.83929350196252</v>
      </c>
      <c r="AB14" s="11">
        <f t="shared" si="18"/>
        <v>384.33493240296553</v>
      </c>
      <c r="AC14" s="11">
        <f t="shared" si="24"/>
        <v>9.0078499781945052</v>
      </c>
      <c r="AD14" s="88">
        <f>R14+Z14</f>
        <v>7542.8179241168773</v>
      </c>
      <c r="AE14" s="88">
        <f>S14+AA14</f>
        <v>2679.8392935019624</v>
      </c>
      <c r="AF14" s="88">
        <f>T14+AB14</f>
        <v>1664.3349324029655</v>
      </c>
      <c r="AG14" s="88">
        <f>U14+AC14</f>
        <v>39.007849978194507</v>
      </c>
    </row>
    <row r="15" spans="1:33" x14ac:dyDescent="0.25">
      <c r="A15" s="225">
        <v>2003</v>
      </c>
      <c r="B15" s="9">
        <v>6489</v>
      </c>
      <c r="C15" s="10">
        <v>331</v>
      </c>
      <c r="D15" s="9">
        <v>334</v>
      </c>
      <c r="E15" s="10">
        <v>288</v>
      </c>
      <c r="F15" s="9">
        <v>9</v>
      </c>
      <c r="G15" s="9">
        <v>1652</v>
      </c>
      <c r="H15" s="10">
        <v>12</v>
      </c>
      <c r="I15" s="9">
        <v>74</v>
      </c>
      <c r="J15" s="9">
        <v>16</v>
      </c>
      <c r="K15" s="9">
        <v>1017</v>
      </c>
      <c r="L15" s="9">
        <v>27</v>
      </c>
      <c r="M15" s="10">
        <v>2718</v>
      </c>
      <c r="N15" s="10">
        <v>12967</v>
      </c>
      <c r="O15" s="2"/>
      <c r="P15" s="11"/>
      <c r="Q15" s="11">
        <f t="shared" si="23"/>
        <v>2718</v>
      </c>
      <c r="R15" s="11">
        <f t="shared" ref="R15:R30" si="26">(B15+E15)</f>
        <v>6777</v>
      </c>
      <c r="S15" s="11">
        <f t="shared" ref="S15:S31" si="27">(G15+I15+D15)</f>
        <v>2060</v>
      </c>
      <c r="T15" s="11">
        <f t="shared" ref="T15:T31" si="28">(F15+K15+L15+C15)</f>
        <v>1384</v>
      </c>
      <c r="U15" s="11">
        <f t="shared" ref="U15:U31" si="29">H15+J15</f>
        <v>28</v>
      </c>
      <c r="V15" s="296">
        <f t="shared" ref="V15:V31" si="30">R15/SUM($R15:$U15)</f>
        <v>0.66123524246267928</v>
      </c>
      <c r="W15" s="296">
        <f t="shared" ref="W15:W31" si="31">S15/SUM($R15:$U15)</f>
        <v>0.20099521904576056</v>
      </c>
      <c r="X15" s="296">
        <f t="shared" ref="X15:X31" si="32">T15/SUM($R15:$U15)</f>
        <v>0.13503756464045272</v>
      </c>
      <c r="Y15" s="296">
        <f t="shared" ref="Y15:Y31" si="33">U15/SUM($R15:$U15)</f>
        <v>2.7319738511074249E-3</v>
      </c>
      <c r="Z15" s="11">
        <f t="shared" ref="Z15:Z31" si="34">V15*$M15</f>
        <v>1797.2373890135623</v>
      </c>
      <c r="AA15" s="11">
        <f t="shared" ref="AA15:AA31" si="35">W15*$M15</f>
        <v>546.30500536637726</v>
      </c>
      <c r="AB15" s="11">
        <f t="shared" ref="AB15:AB31" si="36">X15*$M15</f>
        <v>367.03210069275048</v>
      </c>
      <c r="AC15" s="11">
        <f t="shared" ref="AC15:AC31" si="37">Y15*$M15</f>
        <v>7.4255049273099809</v>
      </c>
      <c r="AD15" s="88">
        <f t="shared" ref="AD15:AD31" si="38">R15+Z15</f>
        <v>8574.2373890135623</v>
      </c>
      <c r="AE15" s="88">
        <f t="shared" ref="AE15:AE31" si="39">S15+AA15</f>
        <v>2606.3050053663774</v>
      </c>
      <c r="AF15" s="88">
        <f t="shared" ref="AF15:AF31" si="40">T15+AB15</f>
        <v>1751.0321006927504</v>
      </c>
      <c r="AG15" s="88">
        <f t="shared" ref="AG15:AG31" si="41">U15+AC15</f>
        <v>35.42550492730998</v>
      </c>
    </row>
    <row r="16" spans="1:33" x14ac:dyDescent="0.25">
      <c r="A16" s="225">
        <v>2004</v>
      </c>
      <c r="B16" s="9">
        <v>7621</v>
      </c>
      <c r="C16" s="10">
        <v>368</v>
      </c>
      <c r="D16" s="9">
        <v>265</v>
      </c>
      <c r="E16" s="10">
        <v>311</v>
      </c>
      <c r="F16" s="9">
        <v>11</v>
      </c>
      <c r="G16" s="9">
        <v>1517</v>
      </c>
      <c r="H16" s="10">
        <v>7</v>
      </c>
      <c r="I16" s="9">
        <v>79</v>
      </c>
      <c r="J16" s="9">
        <v>16</v>
      </c>
      <c r="K16" s="9">
        <v>1237</v>
      </c>
      <c r="L16" s="9">
        <v>37</v>
      </c>
      <c r="M16" s="10">
        <v>2318</v>
      </c>
      <c r="N16" s="10">
        <v>13787</v>
      </c>
      <c r="O16" s="2"/>
      <c r="P16" s="11"/>
      <c r="Q16" s="11">
        <f t="shared" si="23"/>
        <v>2318</v>
      </c>
      <c r="R16" s="11">
        <f t="shared" si="26"/>
        <v>7932</v>
      </c>
      <c r="S16" s="11">
        <f t="shared" si="27"/>
        <v>1861</v>
      </c>
      <c r="T16" s="11">
        <f t="shared" si="28"/>
        <v>1653</v>
      </c>
      <c r="U16" s="11">
        <f t="shared" si="29"/>
        <v>23</v>
      </c>
      <c r="V16" s="296">
        <f t="shared" si="30"/>
        <v>0.69160345278577029</v>
      </c>
      <c r="W16" s="296">
        <f t="shared" si="31"/>
        <v>0.16226349289388786</v>
      </c>
      <c r="X16" s="296">
        <f t="shared" si="32"/>
        <v>0.14412764844363066</v>
      </c>
      <c r="Y16" s="296">
        <f t="shared" si="33"/>
        <v>2.0054058767111343E-3</v>
      </c>
      <c r="Z16" s="11">
        <f t="shared" si="34"/>
        <v>1603.1368035574155</v>
      </c>
      <c r="AA16" s="11">
        <f t="shared" si="35"/>
        <v>376.12677652803205</v>
      </c>
      <c r="AB16" s="11">
        <f t="shared" si="36"/>
        <v>334.08788909233584</v>
      </c>
      <c r="AC16" s="11">
        <f t="shared" si="37"/>
        <v>4.6485308222164097</v>
      </c>
      <c r="AD16" s="88">
        <f t="shared" si="38"/>
        <v>9535.136803557416</v>
      </c>
      <c r="AE16" s="88">
        <f t="shared" si="39"/>
        <v>2237.1267765280322</v>
      </c>
      <c r="AF16" s="88">
        <f t="shared" si="40"/>
        <v>1987.0878890923359</v>
      </c>
      <c r="AG16" s="88">
        <f t="shared" si="41"/>
        <v>27.648530822216408</v>
      </c>
    </row>
    <row r="17" spans="1:33" x14ac:dyDescent="0.25">
      <c r="A17" s="225">
        <v>2005</v>
      </c>
      <c r="B17" s="9">
        <v>8499</v>
      </c>
      <c r="C17" s="10">
        <v>408</v>
      </c>
      <c r="D17" s="9">
        <v>314</v>
      </c>
      <c r="E17" s="10">
        <v>378</v>
      </c>
      <c r="F17" s="9">
        <v>16</v>
      </c>
      <c r="G17" s="9">
        <v>1570</v>
      </c>
      <c r="H17" s="10">
        <v>30</v>
      </c>
      <c r="I17" s="9">
        <v>80</v>
      </c>
      <c r="J17" s="9">
        <v>24</v>
      </c>
      <c r="K17" s="9">
        <v>1258</v>
      </c>
      <c r="L17" s="9">
        <v>28</v>
      </c>
      <c r="M17" s="10">
        <v>2354</v>
      </c>
      <c r="N17" s="10">
        <v>14959</v>
      </c>
      <c r="O17" s="2"/>
      <c r="P17" s="11"/>
      <c r="Q17" s="11">
        <f t="shared" si="23"/>
        <v>2354</v>
      </c>
      <c r="R17" s="11">
        <f t="shared" si="26"/>
        <v>8877</v>
      </c>
      <c r="S17" s="11">
        <f t="shared" si="27"/>
        <v>1964</v>
      </c>
      <c r="T17" s="11">
        <f t="shared" si="28"/>
        <v>1710</v>
      </c>
      <c r="U17" s="11">
        <f t="shared" si="29"/>
        <v>54</v>
      </c>
      <c r="V17" s="296">
        <f t="shared" si="30"/>
        <v>0.70424434748115827</v>
      </c>
      <c r="W17" s="296">
        <f t="shared" si="31"/>
        <v>0.1558111860372868</v>
      </c>
      <c r="X17" s="296">
        <f t="shared" si="32"/>
        <v>0.13566045220150733</v>
      </c>
      <c r="Y17" s="296">
        <f t="shared" si="33"/>
        <v>4.2840142800475997E-3</v>
      </c>
      <c r="Z17" s="11">
        <f t="shared" si="34"/>
        <v>1657.7911939706466</v>
      </c>
      <c r="AA17" s="11">
        <f t="shared" si="35"/>
        <v>366.77953193177314</v>
      </c>
      <c r="AB17" s="11">
        <f t="shared" si="36"/>
        <v>319.34470448234822</v>
      </c>
      <c r="AC17" s="11">
        <f t="shared" si="37"/>
        <v>10.08456961523205</v>
      </c>
      <c r="AD17" s="88">
        <f t="shared" si="38"/>
        <v>10534.791193970646</v>
      </c>
      <c r="AE17" s="88">
        <f t="shared" si="39"/>
        <v>2330.7795319317729</v>
      </c>
      <c r="AF17" s="88">
        <f t="shared" si="40"/>
        <v>2029.3447044823483</v>
      </c>
      <c r="AG17" s="88">
        <f t="shared" si="41"/>
        <v>64.084569615232056</v>
      </c>
    </row>
    <row r="18" spans="1:33" x14ac:dyDescent="0.25">
      <c r="A18" s="225">
        <v>2006</v>
      </c>
      <c r="B18" s="9">
        <v>10198</v>
      </c>
      <c r="C18" s="10">
        <v>539</v>
      </c>
      <c r="D18" s="9">
        <v>355</v>
      </c>
      <c r="E18" s="10">
        <v>471</v>
      </c>
      <c r="F18" s="9">
        <v>19</v>
      </c>
      <c r="G18" s="9">
        <v>1544</v>
      </c>
      <c r="H18" s="10">
        <v>94</v>
      </c>
      <c r="I18" s="9">
        <v>78</v>
      </c>
      <c r="J18" s="9">
        <v>29</v>
      </c>
      <c r="K18" s="9">
        <v>1927</v>
      </c>
      <c r="L18" s="9">
        <v>111</v>
      </c>
      <c r="M18" s="10">
        <v>2224</v>
      </c>
      <c r="N18" s="10">
        <v>17589</v>
      </c>
      <c r="O18" s="2"/>
      <c r="P18" s="11"/>
      <c r="Q18" s="11">
        <f t="shared" si="23"/>
        <v>2224</v>
      </c>
      <c r="R18" s="11">
        <f t="shared" si="26"/>
        <v>10669</v>
      </c>
      <c r="S18" s="11">
        <f t="shared" si="27"/>
        <v>1977</v>
      </c>
      <c r="T18" s="11">
        <f t="shared" si="28"/>
        <v>2596</v>
      </c>
      <c r="U18" s="11">
        <f t="shared" si="29"/>
        <v>123</v>
      </c>
      <c r="V18" s="296">
        <f t="shared" si="30"/>
        <v>0.694370322160755</v>
      </c>
      <c r="W18" s="296">
        <f t="shared" si="31"/>
        <v>0.12866905304262935</v>
      </c>
      <c r="X18" s="296">
        <f t="shared" si="32"/>
        <v>0.16895541815815165</v>
      </c>
      <c r="Y18" s="296">
        <f t="shared" si="33"/>
        <v>8.0052066384640411E-3</v>
      </c>
      <c r="Z18" s="11">
        <f t="shared" si="34"/>
        <v>1544.2795964855191</v>
      </c>
      <c r="AA18" s="11">
        <f t="shared" si="35"/>
        <v>286.15997396680768</v>
      </c>
      <c r="AB18" s="11">
        <f t="shared" si="36"/>
        <v>375.7568499837293</v>
      </c>
      <c r="AC18" s="11">
        <f t="shared" si="37"/>
        <v>17.803579563944027</v>
      </c>
      <c r="AD18" s="88">
        <f t="shared" si="38"/>
        <v>12213.27959648552</v>
      </c>
      <c r="AE18" s="88">
        <f t="shared" si="39"/>
        <v>2263.1599739668077</v>
      </c>
      <c r="AF18" s="88">
        <f t="shared" si="40"/>
        <v>2971.7568499837294</v>
      </c>
      <c r="AG18" s="88">
        <f t="shared" si="41"/>
        <v>140.80357956394403</v>
      </c>
    </row>
    <row r="19" spans="1:33" x14ac:dyDescent="0.25">
      <c r="A19" s="225">
        <v>2007</v>
      </c>
      <c r="B19" s="9">
        <v>11414</v>
      </c>
      <c r="C19" s="10">
        <v>571</v>
      </c>
      <c r="D19" s="9">
        <v>394</v>
      </c>
      <c r="E19" s="10">
        <v>400</v>
      </c>
      <c r="F19" s="9">
        <v>24</v>
      </c>
      <c r="G19" s="9">
        <v>1900</v>
      </c>
      <c r="H19" s="10">
        <v>7</v>
      </c>
      <c r="I19" s="9">
        <v>93</v>
      </c>
      <c r="J19" s="9">
        <v>18</v>
      </c>
      <c r="K19" s="9">
        <v>1572</v>
      </c>
      <c r="L19" s="9">
        <v>34</v>
      </c>
      <c r="M19" s="10">
        <v>2136</v>
      </c>
      <c r="N19" s="10">
        <v>18563</v>
      </c>
      <c r="O19" s="2"/>
      <c r="P19" s="11"/>
      <c r="Q19" s="11">
        <f t="shared" si="23"/>
        <v>2136</v>
      </c>
      <c r="R19" s="11">
        <f t="shared" si="26"/>
        <v>11814</v>
      </c>
      <c r="S19" s="11">
        <f t="shared" si="27"/>
        <v>2387</v>
      </c>
      <c r="T19" s="11">
        <f t="shared" si="28"/>
        <v>2201</v>
      </c>
      <c r="U19" s="11">
        <f t="shared" si="29"/>
        <v>25</v>
      </c>
      <c r="V19" s="296">
        <f t="shared" si="30"/>
        <v>0.71918183478419673</v>
      </c>
      <c r="W19" s="296">
        <f t="shared" si="31"/>
        <v>0.14530955134838985</v>
      </c>
      <c r="X19" s="296">
        <f t="shared" si="32"/>
        <v>0.13398672916539842</v>
      </c>
      <c r="Y19" s="296">
        <f t="shared" si="33"/>
        <v>1.5218847020149753E-3</v>
      </c>
      <c r="Z19" s="11">
        <f t="shared" si="34"/>
        <v>1536.1723990990442</v>
      </c>
      <c r="AA19" s="11">
        <f t="shared" si="35"/>
        <v>310.3812016801607</v>
      </c>
      <c r="AB19" s="11">
        <f t="shared" si="36"/>
        <v>286.195653497291</v>
      </c>
      <c r="AC19" s="11">
        <f t="shared" si="37"/>
        <v>3.2507457235039872</v>
      </c>
      <c r="AD19" s="88">
        <f t="shared" si="38"/>
        <v>13350.172399099045</v>
      </c>
      <c r="AE19" s="88">
        <f t="shared" si="39"/>
        <v>2697.3812016801608</v>
      </c>
      <c r="AF19" s="88">
        <f t="shared" si="40"/>
        <v>2487.195653497291</v>
      </c>
      <c r="AG19" s="88">
        <f t="shared" si="41"/>
        <v>28.250745723503986</v>
      </c>
    </row>
    <row r="20" spans="1:33" x14ac:dyDescent="0.25">
      <c r="A20" s="225">
        <v>2008</v>
      </c>
      <c r="B20" s="9">
        <v>11532</v>
      </c>
      <c r="C20" s="10">
        <v>630</v>
      </c>
      <c r="D20" s="9">
        <v>507</v>
      </c>
      <c r="E20" s="10">
        <v>476</v>
      </c>
      <c r="F20" s="9">
        <v>20</v>
      </c>
      <c r="G20" s="9">
        <v>2418</v>
      </c>
      <c r="H20" s="10">
        <v>21</v>
      </c>
      <c r="I20" s="9">
        <v>110</v>
      </c>
      <c r="J20" s="9">
        <v>19</v>
      </c>
      <c r="K20" s="9">
        <v>1607</v>
      </c>
      <c r="L20" s="9">
        <v>26</v>
      </c>
      <c r="M20" s="10">
        <v>2281</v>
      </c>
      <c r="N20" s="10">
        <v>19647</v>
      </c>
      <c r="O20" s="2"/>
      <c r="P20" s="11"/>
      <c r="Q20" s="11">
        <f t="shared" si="23"/>
        <v>2281</v>
      </c>
      <c r="R20" s="11">
        <f t="shared" si="26"/>
        <v>12008</v>
      </c>
      <c r="S20" s="11">
        <f t="shared" si="27"/>
        <v>3035</v>
      </c>
      <c r="T20" s="11">
        <f t="shared" si="28"/>
        <v>2283</v>
      </c>
      <c r="U20" s="11">
        <f t="shared" si="29"/>
        <v>40</v>
      </c>
      <c r="V20" s="296">
        <f>R20/SUM($R20:$U20)</f>
        <v>0.69146608315098468</v>
      </c>
      <c r="W20" s="296">
        <f t="shared" si="31"/>
        <v>0.17476678567315443</v>
      </c>
      <c r="X20" s="296">
        <f t="shared" si="32"/>
        <v>0.13146377979960844</v>
      </c>
      <c r="Y20" s="296">
        <f t="shared" si="33"/>
        <v>2.3033513762524475E-3</v>
      </c>
      <c r="Z20" s="11">
        <f>V20*$M20</f>
        <v>1577.234135667396</v>
      </c>
      <c r="AA20" s="11">
        <f t="shared" si="35"/>
        <v>398.64303812046523</v>
      </c>
      <c r="AB20" s="11">
        <f t="shared" si="36"/>
        <v>299.86888172290685</v>
      </c>
      <c r="AC20" s="11">
        <f t="shared" si="37"/>
        <v>5.2539444892318325</v>
      </c>
      <c r="AD20" s="88">
        <f>R20+Z20</f>
        <v>13585.234135667397</v>
      </c>
      <c r="AE20" s="88">
        <f t="shared" si="39"/>
        <v>3433.6430381204655</v>
      </c>
      <c r="AF20" s="88">
        <f t="shared" si="40"/>
        <v>2582.8688817229067</v>
      </c>
      <c r="AG20" s="88">
        <f t="shared" si="41"/>
        <v>45.253944489231834</v>
      </c>
    </row>
    <row r="21" spans="1:33" x14ac:dyDescent="0.25">
      <c r="A21" s="225">
        <v>2009</v>
      </c>
      <c r="B21" s="9">
        <v>11824</v>
      </c>
      <c r="C21" s="10">
        <v>845</v>
      </c>
      <c r="D21" s="9">
        <v>503</v>
      </c>
      <c r="E21" s="10">
        <v>324</v>
      </c>
      <c r="F21" s="9">
        <v>18</v>
      </c>
      <c r="G21" s="9">
        <v>2595</v>
      </c>
      <c r="H21" s="10">
        <v>18</v>
      </c>
      <c r="I21" s="9">
        <v>145</v>
      </c>
      <c r="J21" s="9">
        <v>35</v>
      </c>
      <c r="K21" s="9">
        <v>2026</v>
      </c>
      <c r="L21" s="9">
        <v>32</v>
      </c>
      <c r="M21" s="10">
        <v>2108</v>
      </c>
      <c r="N21" s="10">
        <v>20473</v>
      </c>
      <c r="O21" s="2"/>
      <c r="P21" s="11"/>
      <c r="Q21" s="11">
        <f t="shared" si="23"/>
        <v>2108</v>
      </c>
      <c r="R21" s="11">
        <f t="shared" si="26"/>
        <v>12148</v>
      </c>
      <c r="S21" s="11">
        <f t="shared" si="27"/>
        <v>3243</v>
      </c>
      <c r="T21" s="11">
        <f t="shared" si="28"/>
        <v>2921</v>
      </c>
      <c r="U21" s="11">
        <f t="shared" si="29"/>
        <v>53</v>
      </c>
      <c r="V21" s="296">
        <f t="shared" si="30"/>
        <v>0.66147563299754963</v>
      </c>
      <c r="W21" s="296">
        <f t="shared" si="31"/>
        <v>0.17658589708684999</v>
      </c>
      <c r="X21" s="296">
        <f t="shared" si="32"/>
        <v>0.15905254560304927</v>
      </c>
      <c r="Y21" s="296">
        <f t="shared" si="33"/>
        <v>2.8859243125510482E-3</v>
      </c>
      <c r="Z21" s="11">
        <f t="shared" si="34"/>
        <v>1394.3906343588346</v>
      </c>
      <c r="AA21" s="11">
        <f t="shared" si="35"/>
        <v>372.2430710590798</v>
      </c>
      <c r="AB21" s="11">
        <f t="shared" si="36"/>
        <v>335.28276613122785</v>
      </c>
      <c r="AC21" s="11">
        <f t="shared" si="37"/>
        <v>6.0835284508576093</v>
      </c>
      <c r="AD21" s="88">
        <f t="shared" si="38"/>
        <v>13542.390634358835</v>
      </c>
      <c r="AE21" s="88">
        <f t="shared" si="39"/>
        <v>3615.2430710590797</v>
      </c>
      <c r="AF21" s="88">
        <f t="shared" si="40"/>
        <v>3256.2827661312276</v>
      </c>
      <c r="AG21" s="88">
        <f t="shared" si="41"/>
        <v>59.083528450857607</v>
      </c>
    </row>
    <row r="22" spans="1:33" x14ac:dyDescent="0.25">
      <c r="A22" s="225">
        <v>2010</v>
      </c>
      <c r="B22" s="9">
        <v>12893</v>
      </c>
      <c r="C22" s="10">
        <v>906</v>
      </c>
      <c r="D22" s="9">
        <v>481</v>
      </c>
      <c r="E22" s="10">
        <v>284</v>
      </c>
      <c r="F22" s="9">
        <v>19</v>
      </c>
      <c r="G22" s="9">
        <v>2406</v>
      </c>
      <c r="H22" s="10">
        <v>30</v>
      </c>
      <c r="I22" s="9">
        <v>105</v>
      </c>
      <c r="J22" s="9">
        <v>26</v>
      </c>
      <c r="K22" s="9">
        <v>2008</v>
      </c>
      <c r="L22" s="9">
        <v>33</v>
      </c>
      <c r="M22" s="10">
        <v>1940</v>
      </c>
      <c r="N22" s="10">
        <v>21131</v>
      </c>
      <c r="O22" s="2"/>
      <c r="P22" s="11"/>
      <c r="Q22" s="11">
        <f t="shared" si="23"/>
        <v>1940</v>
      </c>
      <c r="R22" s="11">
        <f t="shared" si="26"/>
        <v>13177</v>
      </c>
      <c r="S22" s="11">
        <f t="shared" si="27"/>
        <v>2992</v>
      </c>
      <c r="T22" s="11">
        <f t="shared" si="28"/>
        <v>2966</v>
      </c>
      <c r="U22" s="11">
        <f t="shared" si="29"/>
        <v>56</v>
      </c>
      <c r="V22" s="296">
        <f t="shared" si="30"/>
        <v>0.68662393830441348</v>
      </c>
      <c r="W22" s="296">
        <f t="shared" si="31"/>
        <v>0.15590641446511386</v>
      </c>
      <c r="X22" s="296">
        <f t="shared" si="32"/>
        <v>0.15455161273513626</v>
      </c>
      <c r="Y22" s="296">
        <f t="shared" si="33"/>
        <v>2.9180344953363556E-3</v>
      </c>
      <c r="Z22" s="11">
        <f t="shared" si="34"/>
        <v>1332.0504403105622</v>
      </c>
      <c r="AA22" s="11">
        <f t="shared" si="35"/>
        <v>302.45844406232089</v>
      </c>
      <c r="AB22" s="11">
        <f t="shared" si="36"/>
        <v>299.83012870616437</v>
      </c>
      <c r="AC22" s="11">
        <f t="shared" si="37"/>
        <v>5.6609869209525296</v>
      </c>
      <c r="AD22" s="88">
        <f t="shared" si="38"/>
        <v>14509.050440310562</v>
      </c>
      <c r="AE22" s="88">
        <f t="shared" si="39"/>
        <v>3294.4584440623207</v>
      </c>
      <c r="AF22" s="88">
        <f t="shared" si="40"/>
        <v>3265.8301287061645</v>
      </c>
      <c r="AG22" s="88">
        <f t="shared" si="41"/>
        <v>61.660986920952531</v>
      </c>
    </row>
    <row r="23" spans="1:33" x14ac:dyDescent="0.25">
      <c r="A23" s="225">
        <v>2011</v>
      </c>
      <c r="B23" s="9">
        <v>13251</v>
      </c>
      <c r="C23" s="10">
        <v>847</v>
      </c>
      <c r="D23" s="9">
        <v>661</v>
      </c>
      <c r="E23" s="10">
        <v>345</v>
      </c>
      <c r="F23" s="9">
        <v>29</v>
      </c>
      <c r="G23" s="9">
        <v>3515</v>
      </c>
      <c r="H23" s="10">
        <v>29</v>
      </c>
      <c r="I23" s="9">
        <v>174</v>
      </c>
      <c r="J23" s="9">
        <v>41</v>
      </c>
      <c r="K23" s="9">
        <v>1708</v>
      </c>
      <c r="L23" s="9">
        <v>41</v>
      </c>
      <c r="M23" s="10">
        <v>2206</v>
      </c>
      <c r="N23" s="10">
        <v>22847</v>
      </c>
      <c r="O23" s="2"/>
      <c r="P23" s="11"/>
      <c r="Q23" s="11">
        <f t="shared" si="23"/>
        <v>2206</v>
      </c>
      <c r="R23" s="11">
        <f t="shared" si="26"/>
        <v>13596</v>
      </c>
      <c r="S23" s="11">
        <f t="shared" si="27"/>
        <v>4350</v>
      </c>
      <c r="T23" s="11">
        <f t="shared" si="28"/>
        <v>2625</v>
      </c>
      <c r="U23" s="11">
        <f t="shared" si="29"/>
        <v>70</v>
      </c>
      <c r="V23" s="296">
        <f t="shared" si="30"/>
        <v>0.65868901700499005</v>
      </c>
      <c r="W23" s="296">
        <f t="shared" si="31"/>
        <v>0.21074560341068746</v>
      </c>
      <c r="X23" s="296">
        <f t="shared" si="32"/>
        <v>0.12717407102369072</v>
      </c>
      <c r="Y23" s="296">
        <f t="shared" si="33"/>
        <v>3.3913085606317524E-3</v>
      </c>
      <c r="Z23" s="11">
        <f t="shared" si="34"/>
        <v>1453.0679715130082</v>
      </c>
      <c r="AA23" s="11">
        <f t="shared" si="35"/>
        <v>464.90480112397654</v>
      </c>
      <c r="AB23" s="11">
        <f t="shared" si="36"/>
        <v>280.54600067826169</v>
      </c>
      <c r="AC23" s="11">
        <f t="shared" si="37"/>
        <v>7.4812266847536462</v>
      </c>
      <c r="AD23" s="88">
        <f t="shared" si="38"/>
        <v>15049.067971513008</v>
      </c>
      <c r="AE23" s="88">
        <f t="shared" si="39"/>
        <v>4814.9048011239765</v>
      </c>
      <c r="AF23" s="88">
        <f t="shared" si="40"/>
        <v>2905.5460006782619</v>
      </c>
      <c r="AG23" s="88">
        <f t="shared" si="41"/>
        <v>77.481226684753651</v>
      </c>
    </row>
    <row r="24" spans="1:33" x14ac:dyDescent="0.25">
      <c r="A24" s="225">
        <v>2012</v>
      </c>
      <c r="B24" s="9">
        <v>12261</v>
      </c>
      <c r="C24" s="10">
        <v>826</v>
      </c>
      <c r="D24" s="9">
        <v>804</v>
      </c>
      <c r="E24" s="10">
        <v>319</v>
      </c>
      <c r="F24" s="9">
        <v>19</v>
      </c>
      <c r="G24" s="9">
        <v>4792</v>
      </c>
      <c r="H24" s="10">
        <v>53</v>
      </c>
      <c r="I24" s="9">
        <v>253</v>
      </c>
      <c r="J24" s="9">
        <v>44</v>
      </c>
      <c r="K24" s="9">
        <v>1688</v>
      </c>
      <c r="L24" s="9">
        <v>30</v>
      </c>
      <c r="M24" s="10">
        <v>2137</v>
      </c>
      <c r="N24" s="10">
        <v>23226</v>
      </c>
      <c r="O24" s="2"/>
      <c r="P24" s="11"/>
      <c r="Q24" s="11">
        <f t="shared" si="23"/>
        <v>2137</v>
      </c>
      <c r="R24" s="11">
        <f t="shared" si="26"/>
        <v>12580</v>
      </c>
      <c r="S24" s="11">
        <f t="shared" si="27"/>
        <v>5849</v>
      </c>
      <c r="T24" s="11">
        <f t="shared" si="28"/>
        <v>2563</v>
      </c>
      <c r="U24" s="11">
        <f t="shared" si="29"/>
        <v>97</v>
      </c>
      <c r="V24" s="296">
        <f t="shared" si="30"/>
        <v>0.59651951254208357</v>
      </c>
      <c r="W24" s="296">
        <f t="shared" si="31"/>
        <v>0.27734838067238843</v>
      </c>
      <c r="X24" s="296">
        <f t="shared" si="32"/>
        <v>0.12153255251552943</v>
      </c>
      <c r="Y24" s="296">
        <f t="shared" si="33"/>
        <v>4.5995542699985778E-3</v>
      </c>
      <c r="Z24" s="11">
        <f t="shared" si="34"/>
        <v>1274.7621983024326</v>
      </c>
      <c r="AA24" s="11">
        <f t="shared" si="35"/>
        <v>592.69348949689402</v>
      </c>
      <c r="AB24" s="11">
        <f t="shared" si="36"/>
        <v>259.71506472568637</v>
      </c>
      <c r="AC24" s="11">
        <f t="shared" si="37"/>
        <v>9.8292474749869605</v>
      </c>
      <c r="AD24" s="88">
        <f t="shared" si="38"/>
        <v>13854.762198302433</v>
      </c>
      <c r="AE24" s="88">
        <f t="shared" si="39"/>
        <v>6441.6934894968945</v>
      </c>
      <c r="AF24" s="88">
        <f t="shared" si="40"/>
        <v>2822.7150647256863</v>
      </c>
      <c r="AG24" s="88">
        <f t="shared" si="41"/>
        <v>106.82924747498696</v>
      </c>
    </row>
    <row r="25" spans="1:33" x14ac:dyDescent="0.25">
      <c r="A25" s="225">
        <v>2013</v>
      </c>
      <c r="B25" s="9">
        <v>11672</v>
      </c>
      <c r="C25" s="10">
        <v>946</v>
      </c>
      <c r="D25" s="9">
        <v>1087</v>
      </c>
      <c r="E25" s="10">
        <v>349</v>
      </c>
      <c r="F25" s="9">
        <v>20</v>
      </c>
      <c r="G25" s="9">
        <v>6597</v>
      </c>
      <c r="H25" s="10">
        <v>155</v>
      </c>
      <c r="I25" s="9">
        <v>349</v>
      </c>
      <c r="J25" s="9">
        <v>103</v>
      </c>
      <c r="K25" s="9">
        <v>1890</v>
      </c>
      <c r="L25" s="9">
        <v>44</v>
      </c>
      <c r="M25" s="10">
        <v>1903</v>
      </c>
      <c r="N25" s="10">
        <v>25115</v>
      </c>
      <c r="O25" s="2"/>
      <c r="P25" s="11"/>
      <c r="Q25" s="11">
        <f t="shared" si="23"/>
        <v>1903</v>
      </c>
      <c r="R25" s="11">
        <f t="shared" si="26"/>
        <v>12021</v>
      </c>
      <c r="S25" s="11">
        <f t="shared" si="27"/>
        <v>8033</v>
      </c>
      <c r="T25" s="11">
        <f t="shared" si="28"/>
        <v>2900</v>
      </c>
      <c r="U25" s="11">
        <f t="shared" si="29"/>
        <v>258</v>
      </c>
      <c r="V25" s="296">
        <f t="shared" si="30"/>
        <v>0.5178786834396002</v>
      </c>
      <c r="W25" s="296">
        <f t="shared" si="31"/>
        <v>0.3460709977597794</v>
      </c>
      <c r="X25" s="296">
        <f t="shared" si="32"/>
        <v>0.12493537825262795</v>
      </c>
      <c r="Y25" s="296">
        <f t="shared" si="33"/>
        <v>1.1114940547992417E-2</v>
      </c>
      <c r="Z25" s="11">
        <f t="shared" si="34"/>
        <v>985.52313458555921</v>
      </c>
      <c r="AA25" s="11">
        <f t="shared" si="35"/>
        <v>658.57310873686015</v>
      </c>
      <c r="AB25" s="11">
        <f t="shared" si="36"/>
        <v>237.75202481475097</v>
      </c>
      <c r="AC25" s="11">
        <f t="shared" si="37"/>
        <v>21.151731862829571</v>
      </c>
      <c r="AD25" s="88">
        <f t="shared" si="38"/>
        <v>13006.523134585559</v>
      </c>
      <c r="AE25" s="88">
        <f t="shared" si="39"/>
        <v>8691.5731087368604</v>
      </c>
      <c r="AF25" s="88">
        <f t="shared" si="40"/>
        <v>3137.7520248147512</v>
      </c>
      <c r="AG25" s="88">
        <f t="shared" si="41"/>
        <v>279.15173186282959</v>
      </c>
    </row>
    <row r="26" spans="1:33" x14ac:dyDescent="0.25">
      <c r="A26" s="225">
        <v>2014</v>
      </c>
      <c r="B26" s="9">
        <v>11723</v>
      </c>
      <c r="C26" s="10">
        <v>1300</v>
      </c>
      <c r="D26" s="9">
        <v>1258</v>
      </c>
      <c r="E26" s="10">
        <v>327</v>
      </c>
      <c r="F26" s="9">
        <v>47</v>
      </c>
      <c r="G26" s="9">
        <v>7862</v>
      </c>
      <c r="H26" s="10">
        <v>817</v>
      </c>
      <c r="I26" s="9">
        <v>390</v>
      </c>
      <c r="J26" s="9">
        <v>282</v>
      </c>
      <c r="K26" s="9">
        <v>3058</v>
      </c>
      <c r="L26" s="9">
        <v>124</v>
      </c>
      <c r="M26" s="10">
        <v>1531</v>
      </c>
      <c r="N26" s="10">
        <v>28719</v>
      </c>
      <c r="O26" s="2"/>
      <c r="P26" s="11"/>
      <c r="Q26" s="11">
        <f t="shared" si="23"/>
        <v>1531</v>
      </c>
      <c r="R26" s="11">
        <f t="shared" si="26"/>
        <v>12050</v>
      </c>
      <c r="S26" s="11">
        <f t="shared" si="27"/>
        <v>9510</v>
      </c>
      <c r="T26" s="11">
        <f t="shared" si="28"/>
        <v>4529</v>
      </c>
      <c r="U26" s="11">
        <f t="shared" si="29"/>
        <v>1099</v>
      </c>
      <c r="V26" s="296">
        <f t="shared" si="30"/>
        <v>0.44321023981168162</v>
      </c>
      <c r="W26" s="296">
        <f t="shared" si="31"/>
        <v>0.34978667058996615</v>
      </c>
      <c r="X26" s="296">
        <f t="shared" si="32"/>
        <v>0.16658084449021626</v>
      </c>
      <c r="Y26" s="296">
        <f t="shared" si="33"/>
        <v>4.042224510813594E-2</v>
      </c>
      <c r="Z26" s="11">
        <f t="shared" si="34"/>
        <v>678.55487715168454</v>
      </c>
      <c r="AA26" s="11">
        <f t="shared" si="35"/>
        <v>535.52339267323816</v>
      </c>
      <c r="AB26" s="11">
        <f t="shared" si="36"/>
        <v>255.0352729145211</v>
      </c>
      <c r="AC26" s="11">
        <f t="shared" si="37"/>
        <v>61.886457260556128</v>
      </c>
      <c r="AD26" s="88">
        <f t="shared" si="38"/>
        <v>12728.554877151684</v>
      </c>
      <c r="AE26" s="88">
        <f t="shared" si="39"/>
        <v>10045.523392673238</v>
      </c>
      <c r="AF26" s="88">
        <f t="shared" si="40"/>
        <v>4784.0352729145216</v>
      </c>
      <c r="AG26" s="88">
        <f t="shared" si="41"/>
        <v>1160.8864572605562</v>
      </c>
    </row>
    <row r="27" spans="1:33" x14ac:dyDescent="0.25">
      <c r="A27" s="225">
        <v>2015</v>
      </c>
      <c r="B27" s="9">
        <v>11339</v>
      </c>
      <c r="C27" s="10">
        <v>1827</v>
      </c>
      <c r="D27" s="9">
        <v>1278</v>
      </c>
      <c r="E27" s="10">
        <v>342</v>
      </c>
      <c r="F27" s="9">
        <v>74</v>
      </c>
      <c r="G27" s="9">
        <v>8631</v>
      </c>
      <c r="H27" s="10">
        <v>2204</v>
      </c>
      <c r="I27" s="9">
        <v>367</v>
      </c>
      <c r="J27" s="9">
        <v>571</v>
      </c>
      <c r="K27" s="9">
        <v>4792</v>
      </c>
      <c r="L27" s="9">
        <v>224</v>
      </c>
      <c r="M27" s="10">
        <v>1554</v>
      </c>
      <c r="N27" s="10">
        <v>33203</v>
      </c>
      <c r="O27" s="2"/>
      <c r="P27" s="11"/>
      <c r="Q27" s="11">
        <f t="shared" si="23"/>
        <v>1554</v>
      </c>
      <c r="R27" s="11">
        <f t="shared" si="26"/>
        <v>11681</v>
      </c>
      <c r="S27" s="11">
        <f t="shared" si="27"/>
        <v>10276</v>
      </c>
      <c r="T27" s="11">
        <f t="shared" si="28"/>
        <v>6917</v>
      </c>
      <c r="U27" s="11">
        <f t="shared" si="29"/>
        <v>2775</v>
      </c>
      <c r="V27" s="296">
        <f t="shared" si="30"/>
        <v>0.36907959177225191</v>
      </c>
      <c r="W27" s="296">
        <f t="shared" si="31"/>
        <v>0.32468640399380705</v>
      </c>
      <c r="X27" s="296">
        <f t="shared" si="32"/>
        <v>0.21855350879964611</v>
      </c>
      <c r="Y27" s="296">
        <f t="shared" si="33"/>
        <v>8.7680495434294917E-2</v>
      </c>
      <c r="Z27" s="11">
        <f t="shared" si="34"/>
        <v>573.54968561407952</v>
      </c>
      <c r="AA27" s="11">
        <f t="shared" si="35"/>
        <v>504.56267180637616</v>
      </c>
      <c r="AB27" s="11">
        <f t="shared" si="36"/>
        <v>339.63215267465006</v>
      </c>
      <c r="AC27" s="11">
        <f t="shared" si="37"/>
        <v>136.25548990489429</v>
      </c>
      <c r="AD27" s="88">
        <f t="shared" si="38"/>
        <v>12254.54968561408</v>
      </c>
      <c r="AE27" s="88">
        <f t="shared" si="39"/>
        <v>10780.562671806376</v>
      </c>
      <c r="AF27" s="88">
        <f t="shared" si="40"/>
        <v>7256.6321526746497</v>
      </c>
      <c r="AG27" s="88">
        <f t="shared" si="41"/>
        <v>2911.2554899048941</v>
      </c>
    </row>
    <row r="28" spans="1:33" ht="15" customHeight="1" x14ac:dyDescent="0.25">
      <c r="A28" s="225">
        <v>2016</v>
      </c>
      <c r="B28" s="9">
        <v>11415</v>
      </c>
      <c r="C28" s="10">
        <v>3141</v>
      </c>
      <c r="D28" s="9">
        <v>1302</v>
      </c>
      <c r="E28" s="10">
        <v>295</v>
      </c>
      <c r="F28" s="9">
        <v>101</v>
      </c>
      <c r="G28" s="9">
        <v>8073</v>
      </c>
      <c r="H28" s="10">
        <v>4776</v>
      </c>
      <c r="I28" s="9">
        <v>307</v>
      </c>
      <c r="J28" s="9">
        <v>1093</v>
      </c>
      <c r="K28" s="9">
        <v>10162</v>
      </c>
      <c r="L28" s="9">
        <v>290</v>
      </c>
      <c r="M28" s="10">
        <v>1478</v>
      </c>
      <c r="N28" s="10">
        <v>42433</v>
      </c>
      <c r="O28" s="2"/>
      <c r="P28" s="11"/>
      <c r="Q28" s="11">
        <f t="shared" si="23"/>
        <v>1478</v>
      </c>
      <c r="R28" s="11">
        <f t="shared" si="26"/>
        <v>11710</v>
      </c>
      <c r="S28" s="11">
        <f t="shared" si="27"/>
        <v>9682</v>
      </c>
      <c r="T28" s="11">
        <f t="shared" si="28"/>
        <v>13694</v>
      </c>
      <c r="U28" s="11">
        <f t="shared" si="29"/>
        <v>5869</v>
      </c>
      <c r="V28" s="296">
        <f t="shared" si="30"/>
        <v>0.28592357465510926</v>
      </c>
      <c r="W28" s="296">
        <f t="shared" si="31"/>
        <v>0.23640581125625687</v>
      </c>
      <c r="X28" s="296">
        <f t="shared" si="32"/>
        <v>0.33436698815773408</v>
      </c>
      <c r="Y28" s="296">
        <f t="shared" si="33"/>
        <v>0.14330362593089976</v>
      </c>
      <c r="Z28" s="11">
        <f t="shared" si="34"/>
        <v>422.59504334025149</v>
      </c>
      <c r="AA28" s="11">
        <f t="shared" si="35"/>
        <v>349.40778903674766</v>
      </c>
      <c r="AB28" s="11">
        <f t="shared" si="36"/>
        <v>494.19440849713095</v>
      </c>
      <c r="AC28" s="11">
        <f t="shared" si="37"/>
        <v>211.80275912586984</v>
      </c>
      <c r="AD28" s="88">
        <f t="shared" si="38"/>
        <v>12132.595043340252</v>
      </c>
      <c r="AE28" s="88">
        <f t="shared" si="39"/>
        <v>10031.407789036748</v>
      </c>
      <c r="AF28" s="88">
        <f t="shared" si="40"/>
        <v>14188.194408497131</v>
      </c>
      <c r="AG28" s="88">
        <f t="shared" si="41"/>
        <v>6080.8027591258697</v>
      </c>
    </row>
    <row r="29" spans="1:33" ht="15" customHeight="1" x14ac:dyDescent="0.25">
      <c r="A29" s="2">
        <v>2017</v>
      </c>
      <c r="B29" s="10">
        <v>10324</v>
      </c>
      <c r="C29" s="10">
        <v>4062</v>
      </c>
      <c r="D29" s="10">
        <v>1026</v>
      </c>
      <c r="E29" s="10">
        <v>245</v>
      </c>
      <c r="F29" s="10">
        <v>118</v>
      </c>
      <c r="G29" s="10">
        <v>6115</v>
      </c>
      <c r="H29" s="10">
        <v>6661</v>
      </c>
      <c r="I29" s="10">
        <v>270</v>
      </c>
      <c r="J29" s="10">
        <v>1521</v>
      </c>
      <c r="K29" s="10">
        <v>16020</v>
      </c>
      <c r="L29" s="10">
        <v>309</v>
      </c>
      <c r="M29" s="10">
        <v>1211</v>
      </c>
      <c r="N29" s="224">
        <v>47882</v>
      </c>
      <c r="O29" s="2"/>
      <c r="P29" s="11"/>
      <c r="Q29" s="11">
        <f t="shared" si="23"/>
        <v>1211</v>
      </c>
      <c r="R29" s="11">
        <f t="shared" si="26"/>
        <v>10569</v>
      </c>
      <c r="S29" s="11">
        <f t="shared" si="27"/>
        <v>7411</v>
      </c>
      <c r="T29" s="11">
        <f t="shared" si="28"/>
        <v>20509</v>
      </c>
      <c r="U29" s="11">
        <f t="shared" si="29"/>
        <v>8182</v>
      </c>
      <c r="V29" s="296">
        <f t="shared" si="30"/>
        <v>0.2264575432281288</v>
      </c>
      <c r="W29" s="296">
        <f t="shared" si="31"/>
        <v>0.15879239784877119</v>
      </c>
      <c r="X29" s="296">
        <f t="shared" si="32"/>
        <v>0.43943776649311134</v>
      </c>
      <c r="Y29" s="296">
        <f t="shared" si="33"/>
        <v>0.17531229242998864</v>
      </c>
      <c r="Z29" s="11">
        <f t="shared" si="34"/>
        <v>274.24008484926401</v>
      </c>
      <c r="AA29" s="11">
        <f t="shared" si="35"/>
        <v>192.29759379486191</v>
      </c>
      <c r="AB29" s="11">
        <f t="shared" si="36"/>
        <v>532.15913522315782</v>
      </c>
      <c r="AC29" s="11">
        <f t="shared" si="37"/>
        <v>212.30318613271623</v>
      </c>
      <c r="AD29" s="88">
        <f t="shared" si="38"/>
        <v>10843.240084849263</v>
      </c>
      <c r="AE29" s="88">
        <f t="shared" si="39"/>
        <v>7603.2975937948622</v>
      </c>
      <c r="AF29" s="88">
        <f t="shared" si="40"/>
        <v>21041.159135223159</v>
      </c>
      <c r="AG29" s="88">
        <f t="shared" si="41"/>
        <v>8394.3031861327163</v>
      </c>
    </row>
    <row r="30" spans="1:33" x14ac:dyDescent="0.25">
      <c r="A30" s="225">
        <v>2018</v>
      </c>
      <c r="B30" s="9">
        <v>8535</v>
      </c>
      <c r="C30" s="10">
        <v>4083</v>
      </c>
      <c r="D30" s="9">
        <v>867</v>
      </c>
      <c r="E30" s="10">
        <v>170</v>
      </c>
      <c r="F30" s="9">
        <v>102</v>
      </c>
      <c r="G30" s="9">
        <v>4865</v>
      </c>
      <c r="H30" s="10">
        <v>7698</v>
      </c>
      <c r="I30" s="9">
        <v>210</v>
      </c>
      <c r="J30" s="9">
        <v>1462</v>
      </c>
      <c r="K30" s="9">
        <v>17956</v>
      </c>
      <c r="L30" s="9">
        <v>263</v>
      </c>
      <c r="M30" s="10">
        <v>885</v>
      </c>
      <c r="N30" s="10">
        <v>47096</v>
      </c>
      <c r="O30" s="2"/>
      <c r="P30" s="11"/>
      <c r="Q30" s="11">
        <f t="shared" si="23"/>
        <v>885</v>
      </c>
      <c r="R30" s="11">
        <f t="shared" si="26"/>
        <v>8705</v>
      </c>
      <c r="S30" s="11">
        <f t="shared" si="27"/>
        <v>5942</v>
      </c>
      <c r="T30" s="11">
        <f t="shared" si="28"/>
        <v>22404</v>
      </c>
      <c r="U30" s="11">
        <f t="shared" si="29"/>
        <v>9160</v>
      </c>
      <c r="V30" s="296">
        <f t="shared" si="30"/>
        <v>0.18837506221462422</v>
      </c>
      <c r="W30" s="296">
        <f t="shared" si="31"/>
        <v>0.12858410335201576</v>
      </c>
      <c r="X30" s="296">
        <f t="shared" si="32"/>
        <v>0.4848196316894246</v>
      </c>
      <c r="Y30" s="296">
        <f t="shared" si="33"/>
        <v>0.19822120274393543</v>
      </c>
      <c r="Z30" s="11">
        <f t="shared" si="34"/>
        <v>166.71193005994243</v>
      </c>
      <c r="AA30" s="11">
        <f t="shared" si="35"/>
        <v>113.79693146653395</v>
      </c>
      <c r="AB30" s="11">
        <f t="shared" si="36"/>
        <v>429.0653740451408</v>
      </c>
      <c r="AC30" s="11">
        <f t="shared" si="37"/>
        <v>175.42576442838285</v>
      </c>
      <c r="AD30" s="88">
        <f t="shared" si="38"/>
        <v>8871.7119300599425</v>
      </c>
      <c r="AE30" s="88">
        <f t="shared" si="39"/>
        <v>6055.7969314665343</v>
      </c>
      <c r="AF30" s="88">
        <f t="shared" si="40"/>
        <v>22833.065374045142</v>
      </c>
      <c r="AG30" s="88">
        <f t="shared" si="41"/>
        <v>9335.4257644283825</v>
      </c>
    </row>
    <row r="31" spans="1:33" x14ac:dyDescent="0.25">
      <c r="A31" s="2">
        <v>2019</v>
      </c>
      <c r="B31" s="10">
        <v>7391</v>
      </c>
      <c r="C31" s="10">
        <v>4543</v>
      </c>
      <c r="D31" s="10">
        <v>729</v>
      </c>
      <c r="E31" s="10">
        <v>130</v>
      </c>
      <c r="F31" s="10">
        <v>79</v>
      </c>
      <c r="G31" s="10">
        <v>4349</v>
      </c>
      <c r="H31" s="10">
        <v>7419</v>
      </c>
      <c r="I31" s="10">
        <v>188</v>
      </c>
      <c r="J31" s="10">
        <v>1431</v>
      </c>
      <c r="K31" s="10">
        <v>22924</v>
      </c>
      <c r="L31" s="10">
        <v>254</v>
      </c>
      <c r="M31" s="10">
        <v>741</v>
      </c>
      <c r="N31" s="10">
        <v>50178</v>
      </c>
      <c r="O31" s="2"/>
      <c r="P31" s="11"/>
      <c r="Q31" s="11">
        <f>N31-SUM(R31:U31)</f>
        <v>741</v>
      </c>
      <c r="R31" s="11">
        <f>(B31+E31)</f>
        <v>7521</v>
      </c>
      <c r="S31" s="11">
        <f t="shared" si="27"/>
        <v>5266</v>
      </c>
      <c r="T31" s="11">
        <f t="shared" si="28"/>
        <v>27800</v>
      </c>
      <c r="U31" s="11">
        <f t="shared" si="29"/>
        <v>8850</v>
      </c>
      <c r="V31" s="296">
        <f t="shared" si="30"/>
        <v>0.1521330177802051</v>
      </c>
      <c r="W31" s="296">
        <f t="shared" si="31"/>
        <v>0.10651940854016223</v>
      </c>
      <c r="X31" s="296">
        <f t="shared" si="32"/>
        <v>0.56233185670651531</v>
      </c>
      <c r="Y31" s="296">
        <f t="shared" si="33"/>
        <v>0.1790157169731173</v>
      </c>
      <c r="Z31" s="11">
        <f t="shared" si="34"/>
        <v>112.73056617513198</v>
      </c>
      <c r="AA31" s="11">
        <f t="shared" si="35"/>
        <v>78.930881728260218</v>
      </c>
      <c r="AB31" s="11">
        <f t="shared" si="36"/>
        <v>416.68790581952783</v>
      </c>
      <c r="AC31" s="11">
        <f t="shared" si="37"/>
        <v>132.65064627707991</v>
      </c>
      <c r="AD31" s="88">
        <f t="shared" si="38"/>
        <v>7633.7305661751316</v>
      </c>
      <c r="AE31" s="88">
        <f t="shared" si="39"/>
        <v>5344.9308817282599</v>
      </c>
      <c r="AF31" s="88">
        <f t="shared" si="40"/>
        <v>28216.687905819526</v>
      </c>
      <c r="AG31" s="88">
        <f t="shared" si="41"/>
        <v>8982.6506462770794</v>
      </c>
    </row>
    <row r="32" spans="1:33" x14ac:dyDescent="0.25">
      <c r="A32" s="2">
        <v>2020</v>
      </c>
      <c r="B32">
        <v>7132</v>
      </c>
      <c r="C32" s="142">
        <v>7055</v>
      </c>
      <c r="D32" s="142">
        <v>538</v>
      </c>
      <c r="E32" s="142">
        <v>102</v>
      </c>
      <c r="F32" s="142">
        <v>116</v>
      </c>
      <c r="G32" s="142">
        <v>3411</v>
      </c>
      <c r="H32" s="142">
        <v>7468</v>
      </c>
      <c r="I32" s="142">
        <v>210</v>
      </c>
      <c r="J32" s="142">
        <v>1626</v>
      </c>
      <c r="K32" s="142">
        <v>40336</v>
      </c>
      <c r="L32" s="142">
        <v>336</v>
      </c>
      <c r="M32" s="142">
        <v>731</v>
      </c>
      <c r="N32" s="142">
        <v>69061</v>
      </c>
      <c r="O32" s="2"/>
      <c r="P32" s="11"/>
      <c r="Q32" s="11">
        <f>N32-SUM(R32:U32)</f>
        <v>731</v>
      </c>
      <c r="R32" s="11">
        <f>(B32+E32)</f>
        <v>7234</v>
      </c>
      <c r="S32" s="11">
        <f t="shared" ref="S32" si="42">(G32+I32+D32)</f>
        <v>4159</v>
      </c>
      <c r="T32" s="11">
        <f t="shared" ref="T32" si="43">(F32+K32+L32+C32)</f>
        <v>47843</v>
      </c>
      <c r="U32" s="11">
        <f t="shared" ref="U32" si="44">H32+J32</f>
        <v>9094</v>
      </c>
      <c r="V32" s="296">
        <f t="shared" ref="V32" si="45">R32/SUM($R32:$U32)</f>
        <v>0.10586857895507099</v>
      </c>
      <c r="W32" s="296">
        <f t="shared" ref="W32" si="46">S32/SUM($R32:$U32)</f>
        <v>6.0866383726035415E-2</v>
      </c>
      <c r="X32" s="296">
        <f t="shared" ref="X32" si="47">T32/SUM($R32:$U32)</f>
        <v>0.70017561832284503</v>
      </c>
      <c r="Y32" s="296">
        <f t="shared" ref="Y32" si="48">U32/SUM($R32:$U32)</f>
        <v>0.13308941899604859</v>
      </c>
      <c r="Z32" s="11">
        <f t="shared" ref="Z32" si="49">V32*$M32</f>
        <v>77.389931216156896</v>
      </c>
      <c r="AA32" s="11">
        <f t="shared" ref="AA32" si="50">W32*$M32</f>
        <v>44.493326503731886</v>
      </c>
      <c r="AB32" s="11">
        <f t="shared" ref="AB32" si="51">X32*$M32</f>
        <v>511.82837699399971</v>
      </c>
      <c r="AC32" s="11">
        <f t="shared" ref="AC32" si="52">Y32*$M32</f>
        <v>97.288365286111514</v>
      </c>
      <c r="AD32" s="88">
        <f t="shared" ref="AD32" si="53">R32+Z32</f>
        <v>7311.3899312161566</v>
      </c>
      <c r="AE32" s="88">
        <f t="shared" ref="AE32" si="54">S32+AA32</f>
        <v>4203.4933265037316</v>
      </c>
      <c r="AF32" s="88">
        <f t="shared" ref="AF32" si="55">T32+AB32</f>
        <v>48354.828376994003</v>
      </c>
      <c r="AG32" s="88">
        <f t="shared" ref="AG32" si="56">U32+AC32</f>
        <v>9191.288365286111</v>
      </c>
    </row>
    <row r="33" spans="1:33" x14ac:dyDescent="0.25">
      <c r="A33" s="2"/>
      <c r="B33" s="142"/>
      <c r="C33" s="142"/>
      <c r="D33" s="142"/>
      <c r="E33" s="142"/>
      <c r="F33" s="142"/>
      <c r="G33" s="142"/>
      <c r="H33" s="142"/>
      <c r="I33" s="142"/>
      <c r="J33" s="142"/>
      <c r="K33" s="142"/>
      <c r="L33" s="142"/>
      <c r="M33" s="142"/>
      <c r="N33" s="142"/>
      <c r="O33" s="2"/>
      <c r="P33" s="11"/>
      <c r="Q33" s="11"/>
      <c r="R33" s="11"/>
      <c r="S33" s="11"/>
      <c r="T33" s="11"/>
      <c r="U33" s="11"/>
      <c r="V33" s="3"/>
      <c r="W33" s="3"/>
      <c r="X33" s="3"/>
      <c r="Y33" s="3"/>
      <c r="Z33" s="11"/>
      <c r="AA33" s="11"/>
      <c r="AB33" s="11"/>
      <c r="AC33" s="11"/>
      <c r="AD33" s="20"/>
      <c r="AE33" s="20"/>
      <c r="AF33" s="20"/>
      <c r="AG33" s="20"/>
    </row>
    <row r="34" spans="1:33" x14ac:dyDescent="0.25">
      <c r="A34" s="12" t="s">
        <v>257</v>
      </c>
      <c r="B34" s="2"/>
      <c r="C34" s="2"/>
      <c r="D34" s="2"/>
      <c r="E34" s="2"/>
      <c r="F34" s="2"/>
      <c r="G34" s="2"/>
      <c r="H34" s="2"/>
      <c r="I34" s="2"/>
      <c r="J34" s="2"/>
      <c r="N34" s="20"/>
    </row>
    <row r="35" spans="1:33" x14ac:dyDescent="0.25">
      <c r="A35" s="13" t="s">
        <v>258</v>
      </c>
      <c r="B35" s="13" t="s">
        <v>259</v>
      </c>
      <c r="C35" s="13"/>
      <c r="D35" s="12"/>
      <c r="E35" s="2"/>
      <c r="F35" s="2"/>
      <c r="G35" s="2"/>
      <c r="H35" s="2"/>
      <c r="I35" s="2"/>
      <c r="J35" s="2"/>
    </row>
    <row r="36" spans="1:33" x14ac:dyDescent="0.25">
      <c r="A36" s="13" t="s">
        <v>260</v>
      </c>
      <c r="B36" s="13" t="s">
        <v>261</v>
      </c>
      <c r="C36" s="13"/>
      <c r="D36" s="2"/>
      <c r="E36" s="2"/>
      <c r="F36" s="2"/>
      <c r="G36" s="2"/>
      <c r="H36" s="2"/>
      <c r="I36" s="2"/>
      <c r="J36" s="2"/>
    </row>
    <row r="37" spans="1:33" x14ac:dyDescent="0.25">
      <c r="A37" s="13" t="s">
        <v>262</v>
      </c>
      <c r="B37" s="13" t="s">
        <v>263</v>
      </c>
      <c r="C37" s="13"/>
      <c r="D37" s="2"/>
      <c r="E37" s="2"/>
      <c r="F37" s="2"/>
      <c r="G37" s="2"/>
      <c r="H37" s="2"/>
      <c r="I37" s="2"/>
      <c r="J37" s="2"/>
    </row>
    <row r="38" spans="1:33" x14ac:dyDescent="0.25">
      <c r="A38" s="13" t="s">
        <v>264</v>
      </c>
      <c r="B38" s="13" t="s">
        <v>265</v>
      </c>
      <c r="C38" s="13"/>
      <c r="D38" s="600" t="s">
        <v>266</v>
      </c>
      <c r="E38" s="600"/>
      <c r="F38" s="600"/>
      <c r="G38" s="600"/>
      <c r="H38" s="600"/>
      <c r="I38" s="2"/>
      <c r="J38" s="2"/>
      <c r="K38" s="2"/>
      <c r="L38" s="2"/>
    </row>
    <row r="39" spans="1:33" x14ac:dyDescent="0.25">
      <c r="A39" s="13" t="s">
        <v>267</v>
      </c>
      <c r="B39" s="459" t="s">
        <v>268</v>
      </c>
      <c r="C39" s="13"/>
      <c r="D39" s="2" t="s">
        <v>249</v>
      </c>
      <c r="E39" s="2" t="s">
        <v>269</v>
      </c>
      <c r="F39" s="2"/>
      <c r="G39" s="2"/>
      <c r="H39" s="2"/>
      <c r="I39" s="2"/>
      <c r="J39" s="2"/>
      <c r="K39" s="2"/>
      <c r="L39" s="2"/>
    </row>
    <row r="40" spans="1:33" x14ac:dyDescent="0.25">
      <c r="A40" s="13" t="s">
        <v>270</v>
      </c>
      <c r="B40" s="13" t="s">
        <v>271</v>
      </c>
      <c r="C40" s="13"/>
      <c r="D40" s="2" t="s">
        <v>250</v>
      </c>
      <c r="E40" s="2" t="s">
        <v>272</v>
      </c>
      <c r="F40" s="2"/>
      <c r="G40" s="2"/>
      <c r="H40" s="2"/>
      <c r="I40" s="2"/>
      <c r="J40" s="2"/>
      <c r="K40" s="2"/>
      <c r="L40" s="2"/>
    </row>
    <row r="41" spans="1:33" x14ac:dyDescent="0.25">
      <c r="A41" s="13" t="s">
        <v>273</v>
      </c>
      <c r="B41" s="13" t="s">
        <v>274</v>
      </c>
      <c r="C41" s="13"/>
      <c r="D41" s="2" t="s">
        <v>251</v>
      </c>
      <c r="E41" s="2" t="s">
        <v>275</v>
      </c>
      <c r="F41" s="2"/>
      <c r="G41" s="2"/>
      <c r="H41" s="2"/>
      <c r="I41" s="2"/>
      <c r="J41" s="2"/>
      <c r="K41" s="2"/>
      <c r="L41" s="2"/>
    </row>
    <row r="42" spans="1:33" x14ac:dyDescent="0.25">
      <c r="A42" s="13" t="s">
        <v>276</v>
      </c>
      <c r="B42" s="13" t="s">
        <v>277</v>
      </c>
      <c r="C42" s="13"/>
      <c r="D42" s="2" t="s">
        <v>252</v>
      </c>
      <c r="E42" s="2" t="s">
        <v>278</v>
      </c>
      <c r="F42" s="2"/>
      <c r="G42" s="2"/>
      <c r="H42" s="2"/>
      <c r="I42" s="2"/>
      <c r="J42" s="2"/>
      <c r="K42" s="2"/>
      <c r="L42" s="2"/>
    </row>
    <row r="43" spans="1:33" x14ac:dyDescent="0.25">
      <c r="A43" s="13" t="s">
        <v>279</v>
      </c>
      <c r="B43" s="459" t="s">
        <v>280</v>
      </c>
      <c r="C43" s="13"/>
      <c r="D43" s="2"/>
      <c r="E43" s="2" t="s">
        <v>281</v>
      </c>
      <c r="F43" s="2"/>
      <c r="G43" s="2"/>
      <c r="H43" s="2"/>
      <c r="I43" s="2"/>
      <c r="J43" s="2"/>
      <c r="K43" s="2"/>
      <c r="L43" s="2"/>
    </row>
    <row r="44" spans="1:33" x14ac:dyDescent="0.25">
      <c r="A44" s="13" t="s">
        <v>282</v>
      </c>
      <c r="B44" s="13" t="s">
        <v>283</v>
      </c>
      <c r="C44" s="13"/>
      <c r="D44" s="2"/>
      <c r="E44" s="2"/>
      <c r="F44" s="2"/>
      <c r="G44" s="2"/>
      <c r="H44" s="2"/>
      <c r="I44" s="2"/>
      <c r="J44" s="2"/>
      <c r="K44" s="2"/>
      <c r="L44" s="2"/>
    </row>
    <row r="45" spans="1:33" x14ac:dyDescent="0.25">
      <c r="A45" s="14" t="s">
        <v>284</v>
      </c>
      <c r="B45" s="14" t="s">
        <v>285</v>
      </c>
      <c r="C45" s="14"/>
      <c r="D45" s="2"/>
      <c r="E45" s="2"/>
      <c r="F45" s="2"/>
      <c r="G45" s="2"/>
      <c r="H45" s="2"/>
      <c r="I45" s="2"/>
      <c r="J45" s="2"/>
      <c r="K45" s="2"/>
      <c r="L45" s="2"/>
    </row>
    <row r="46" spans="1:33" x14ac:dyDescent="0.25">
      <c r="A46" s="14" t="s">
        <v>286</v>
      </c>
      <c r="B46" s="14" t="s">
        <v>287</v>
      </c>
      <c r="C46" s="14"/>
      <c r="D46" s="14"/>
      <c r="E46" s="14"/>
      <c r="F46" s="14"/>
      <c r="G46" s="14"/>
      <c r="H46" s="2"/>
      <c r="I46" s="2"/>
      <c r="J46" s="2"/>
      <c r="K46" s="2"/>
      <c r="L46" s="2"/>
      <c r="M46" s="2"/>
      <c r="N46" s="2"/>
      <c r="O46" s="2"/>
      <c r="P46" s="2"/>
      <c r="Q46" s="2"/>
    </row>
    <row r="47" spans="1:33" x14ac:dyDescent="0.25">
      <c r="A47" s="14"/>
      <c r="B47" s="14"/>
      <c r="C47" s="14"/>
      <c r="D47" s="14"/>
      <c r="E47" s="14"/>
      <c r="F47" s="14"/>
      <c r="G47" s="14"/>
      <c r="H47" s="14"/>
      <c r="I47" s="2"/>
      <c r="J47" s="2"/>
      <c r="K47" s="2"/>
      <c r="L47" s="2"/>
      <c r="M47" s="2"/>
      <c r="N47" s="2"/>
      <c r="O47" s="2"/>
      <c r="P47" s="2"/>
      <c r="Q47" s="2"/>
    </row>
    <row r="48" spans="1:33" x14ac:dyDescent="0.25">
      <c r="A48" s="14"/>
      <c r="B48" s="14"/>
      <c r="C48" s="14"/>
      <c r="D48" s="14"/>
      <c r="E48" s="14"/>
      <c r="F48" s="14"/>
      <c r="G48" s="14"/>
      <c r="H48" s="14"/>
      <c r="I48" s="14"/>
      <c r="J48" s="14"/>
      <c r="K48" s="14"/>
      <c r="L48" s="14"/>
      <c r="M48" s="14"/>
      <c r="N48" s="14"/>
      <c r="O48" s="2"/>
      <c r="P48" s="2"/>
      <c r="Q48" s="2"/>
      <c r="R48" s="2"/>
      <c r="S48" s="2"/>
      <c r="T48" s="2"/>
      <c r="U48" s="2"/>
      <c r="V48" s="2"/>
      <c r="W48" s="2"/>
      <c r="X48" s="2"/>
    </row>
    <row r="49" spans="1:33" x14ac:dyDescent="0.25">
      <c r="A49" s="2"/>
      <c r="B49" s="2"/>
      <c r="C49" s="2"/>
      <c r="D49" s="2"/>
      <c r="E49" s="2"/>
      <c r="F49" s="2"/>
      <c r="G49" s="2"/>
      <c r="H49" s="2"/>
      <c r="I49" s="2"/>
      <c r="J49" s="2"/>
      <c r="K49" s="2"/>
      <c r="L49" s="2"/>
      <c r="M49" s="2"/>
      <c r="N49" s="2"/>
      <c r="O49" s="2"/>
      <c r="P49" s="2"/>
      <c r="Q49" s="2"/>
      <c r="R49" s="2"/>
      <c r="S49" s="2"/>
      <c r="T49" s="2"/>
      <c r="U49" s="2"/>
      <c r="V49" s="2"/>
      <c r="W49" s="2"/>
      <c r="X49" s="2"/>
    </row>
    <row r="50" spans="1:33" x14ac:dyDescent="0.25">
      <c r="A50" s="76"/>
      <c r="B50" s="15"/>
      <c r="C50" s="15"/>
      <c r="D50" s="15"/>
      <c r="E50" s="15"/>
      <c r="F50" s="15"/>
      <c r="G50" s="15"/>
      <c r="H50" s="15"/>
      <c r="I50" s="15"/>
      <c r="J50" s="15"/>
      <c r="K50" s="15"/>
      <c r="L50" s="15"/>
      <c r="M50" s="15"/>
      <c r="N50" s="15"/>
      <c r="O50" s="15"/>
      <c r="P50" s="15"/>
      <c r="Q50" s="15"/>
      <c r="R50" s="2"/>
      <c r="S50" s="2"/>
      <c r="T50" s="2"/>
      <c r="U50" s="2"/>
      <c r="V50" s="2"/>
      <c r="W50" s="2"/>
      <c r="X50" s="2"/>
    </row>
    <row r="51" spans="1:33" x14ac:dyDescent="0.25">
      <c r="A51" s="2"/>
      <c r="B51" s="4">
        <v>1999</v>
      </c>
      <c r="C51" s="4">
        <v>2000</v>
      </c>
      <c r="D51" s="4">
        <v>2001</v>
      </c>
      <c r="E51" s="4">
        <v>2002</v>
      </c>
      <c r="F51" s="4">
        <v>2003</v>
      </c>
      <c r="G51" s="4">
        <v>2004</v>
      </c>
      <c r="H51" s="4">
        <v>2005</v>
      </c>
      <c r="I51" s="4">
        <v>2006</v>
      </c>
      <c r="J51" s="4">
        <v>2007</v>
      </c>
      <c r="K51" s="4">
        <v>2008</v>
      </c>
      <c r="L51" s="4">
        <v>2009</v>
      </c>
      <c r="M51" s="4">
        <v>2010</v>
      </c>
      <c r="N51" s="4">
        <v>2011</v>
      </c>
      <c r="O51" s="4">
        <v>2012</v>
      </c>
      <c r="P51" s="4">
        <v>2013</v>
      </c>
      <c r="Q51" s="4">
        <v>2014</v>
      </c>
      <c r="R51" s="4">
        <v>2015</v>
      </c>
      <c r="S51" s="4">
        <v>2016</v>
      </c>
      <c r="T51" s="4">
        <v>2017</v>
      </c>
      <c r="U51" s="4">
        <v>2018</v>
      </c>
      <c r="V51" s="4">
        <v>2019</v>
      </c>
      <c r="W51" s="4">
        <v>2020</v>
      </c>
      <c r="X51" s="2"/>
      <c r="Y51" s="2"/>
      <c r="Z51" s="2"/>
      <c r="AA51" s="2"/>
    </row>
    <row r="52" spans="1:33" ht="27" customHeight="1" x14ac:dyDescent="0.25">
      <c r="A52" s="77" t="s">
        <v>2</v>
      </c>
      <c r="B52" s="11">
        <f>$AE11</f>
        <v>2870.7596401028277</v>
      </c>
      <c r="C52" s="11">
        <f>$AE12</f>
        <v>2618.6778214102783</v>
      </c>
      <c r="D52" s="11">
        <f>$AE13</f>
        <v>2394.2800057496047</v>
      </c>
      <c r="E52" s="11">
        <f>$AE14</f>
        <v>2679.8392935019624</v>
      </c>
      <c r="F52" s="11">
        <f>$AE15</f>
        <v>2606.3050053663774</v>
      </c>
      <c r="G52" s="11">
        <f>$AE16</f>
        <v>2237.1267765280322</v>
      </c>
      <c r="H52" s="11">
        <f>$AE17</f>
        <v>2330.7795319317729</v>
      </c>
      <c r="I52" s="11">
        <f>$AE18</f>
        <v>2263.1599739668077</v>
      </c>
      <c r="J52" s="11">
        <f>$AE19</f>
        <v>2697.3812016801608</v>
      </c>
      <c r="K52" s="11">
        <f>$AE20</f>
        <v>3433.6430381204655</v>
      </c>
      <c r="L52" s="11">
        <f>$AE21</f>
        <v>3615.2430710590797</v>
      </c>
      <c r="M52" s="11">
        <f>$AE22</f>
        <v>3294.4584440623207</v>
      </c>
      <c r="N52" s="11">
        <f>$AE23</f>
        <v>4814.9048011239765</v>
      </c>
      <c r="O52" s="11">
        <f>$AE24</f>
        <v>6441.6934894968945</v>
      </c>
      <c r="P52" s="11">
        <f>$AE25</f>
        <v>8691.5731087368604</v>
      </c>
      <c r="Q52" s="11">
        <f>$AE26</f>
        <v>10045.523392673238</v>
      </c>
      <c r="R52" s="11">
        <f>$AE27</f>
        <v>10780.562671806376</v>
      </c>
      <c r="S52" s="11">
        <f>$AE28</f>
        <v>10031.407789036748</v>
      </c>
      <c r="T52" s="11">
        <f>$AE29</f>
        <v>7603.2975937948622</v>
      </c>
      <c r="U52" s="11">
        <f>$AE30</f>
        <v>6055.7969314665343</v>
      </c>
      <c r="V52" s="231">
        <f>$AE31</f>
        <v>5344.9308817282599</v>
      </c>
      <c r="W52" s="231">
        <f>$AE32</f>
        <v>4203.4933265037316</v>
      </c>
      <c r="X52" s="2"/>
      <c r="Y52" s="2"/>
      <c r="Z52" s="2"/>
      <c r="AA52" s="2"/>
    </row>
    <row r="53" spans="1:33" ht="30" x14ac:dyDescent="0.25">
      <c r="A53" s="77" t="s">
        <v>3</v>
      </c>
      <c r="B53" s="11">
        <f>$AD11</f>
        <v>4098.1241278002208</v>
      </c>
      <c r="C53" s="11">
        <f>$AD12</f>
        <v>4665.3283250811</v>
      </c>
      <c r="D53" s="11">
        <f>$AD13</f>
        <v>5784.2417708782523</v>
      </c>
      <c r="E53" s="11">
        <f>$AD14</f>
        <v>7542.8179241168773</v>
      </c>
      <c r="F53" s="11">
        <f>$AD15</f>
        <v>8574.2373890135623</v>
      </c>
      <c r="G53" s="11">
        <f>$AD16</f>
        <v>9535.136803557416</v>
      </c>
      <c r="H53" s="11">
        <f>$AD17</f>
        <v>10534.791193970646</v>
      </c>
      <c r="I53" s="11">
        <f>$AD18</f>
        <v>12213.27959648552</v>
      </c>
      <c r="J53" s="11">
        <f>$AD19</f>
        <v>13350.172399099045</v>
      </c>
      <c r="K53" s="11">
        <f>$AD20</f>
        <v>13585.234135667397</v>
      </c>
      <c r="L53" s="11">
        <f>$AD21</f>
        <v>13542.390634358835</v>
      </c>
      <c r="M53" s="11">
        <f>$AD22</f>
        <v>14509.050440310562</v>
      </c>
      <c r="N53" s="11">
        <f>$AD23</f>
        <v>15049.067971513008</v>
      </c>
      <c r="O53" s="11">
        <f>$AD24</f>
        <v>13854.762198302433</v>
      </c>
      <c r="P53" s="11">
        <f>$AD25</f>
        <v>13006.523134585559</v>
      </c>
      <c r="Q53" s="11">
        <f>$AD26</f>
        <v>12728.554877151684</v>
      </c>
      <c r="R53" s="11">
        <f>$AD27</f>
        <v>12254.54968561408</v>
      </c>
      <c r="S53" s="11">
        <f>$AD28</f>
        <v>12132.595043340252</v>
      </c>
      <c r="T53" s="11">
        <f>$AD29</f>
        <v>10843.240084849263</v>
      </c>
      <c r="U53" s="11">
        <f>$AD30</f>
        <v>8871.7119300599425</v>
      </c>
      <c r="V53" s="231">
        <f>$AD31</f>
        <v>7633.7305661751316</v>
      </c>
      <c r="W53" s="231">
        <f>$AD32</f>
        <v>7311.3899312161566</v>
      </c>
      <c r="X53" s="2"/>
      <c r="Y53" s="2"/>
      <c r="Z53" s="2"/>
      <c r="AA53" s="2"/>
    </row>
    <row r="54" spans="1:33" ht="45" x14ac:dyDescent="0.25">
      <c r="A54" s="77" t="s">
        <v>227</v>
      </c>
      <c r="B54" s="11">
        <f>$AF11</f>
        <v>1058.5833639368343</v>
      </c>
      <c r="C54" s="11">
        <f>$AF12</f>
        <v>1098.062489329008</v>
      </c>
      <c r="D54" s="11">
        <f>$AF13</f>
        <v>1286.6011211729194</v>
      </c>
      <c r="E54" s="11">
        <f>$AF14</f>
        <v>1664.3349324029655</v>
      </c>
      <c r="F54" s="11">
        <f>$AF15</f>
        <v>1751.0321006927504</v>
      </c>
      <c r="G54" s="11">
        <f>$AF16</f>
        <v>1987.0878890923359</v>
      </c>
      <c r="H54" s="11">
        <f>$AF17</f>
        <v>2029.3447044823483</v>
      </c>
      <c r="I54" s="11">
        <f>$AF18</f>
        <v>2971.7568499837294</v>
      </c>
      <c r="J54" s="11">
        <f>$AF19</f>
        <v>2487.195653497291</v>
      </c>
      <c r="K54" s="11">
        <f>$AF20</f>
        <v>2582.8688817229067</v>
      </c>
      <c r="L54" s="11">
        <f>$AF21</f>
        <v>3256.2827661312276</v>
      </c>
      <c r="M54" s="11">
        <f>$AF22</f>
        <v>3265.8301287061645</v>
      </c>
      <c r="N54" s="11">
        <f>$AF23</f>
        <v>2905.5460006782619</v>
      </c>
      <c r="O54" s="11">
        <f>$AF24</f>
        <v>2822.7150647256863</v>
      </c>
      <c r="P54" s="11">
        <f>$AF25</f>
        <v>3137.7520248147512</v>
      </c>
      <c r="Q54" s="11">
        <f>$AF26</f>
        <v>4784.0352729145216</v>
      </c>
      <c r="R54" s="11">
        <f>$AF27</f>
        <v>7256.6321526746497</v>
      </c>
      <c r="S54" s="11">
        <f>$AF28</f>
        <v>14188.194408497131</v>
      </c>
      <c r="T54" s="11">
        <f>$AF29</f>
        <v>21041.159135223159</v>
      </c>
      <c r="U54" s="11">
        <f>$AF30</f>
        <v>22833.065374045142</v>
      </c>
      <c r="V54" s="231">
        <f>$AF31</f>
        <v>28216.687905819526</v>
      </c>
      <c r="W54" s="231">
        <f>$AF32</f>
        <v>48354.828376994003</v>
      </c>
      <c r="X54" s="2"/>
      <c r="Y54" s="2"/>
      <c r="Z54" s="2"/>
      <c r="AA54" s="2"/>
    </row>
    <row r="55" spans="1:33" ht="28.9" customHeight="1" x14ac:dyDescent="0.25">
      <c r="A55" s="77" t="s">
        <v>4</v>
      </c>
      <c r="B55" s="11">
        <f>$AG11</f>
        <v>35.532868160117516</v>
      </c>
      <c r="C55" s="11">
        <f>$AG12</f>
        <v>35.931364179614135</v>
      </c>
      <c r="D55" s="11">
        <f>$AG13</f>
        <v>36.877102199223806</v>
      </c>
      <c r="E55" s="11">
        <f>$AG14</f>
        <v>39.007849978194507</v>
      </c>
      <c r="F55" s="11">
        <f>$AG15</f>
        <v>35.42550492730998</v>
      </c>
      <c r="G55" s="11">
        <f>$AG16</f>
        <v>27.648530822216408</v>
      </c>
      <c r="H55" s="11">
        <f>$AG17</f>
        <v>64.084569615232056</v>
      </c>
      <c r="I55" s="11">
        <f>$AG18</f>
        <v>140.80357956394403</v>
      </c>
      <c r="J55" s="11">
        <f>$AG19</f>
        <v>28.250745723503986</v>
      </c>
      <c r="K55" s="11">
        <f>$AG20</f>
        <v>45.253944489231834</v>
      </c>
      <c r="L55" s="11">
        <f>$AG21</f>
        <v>59.083528450857607</v>
      </c>
      <c r="M55" s="11">
        <f>$AG22</f>
        <v>61.660986920952531</v>
      </c>
      <c r="N55" s="11">
        <f>$AG23</f>
        <v>77.481226684753651</v>
      </c>
      <c r="O55" s="11">
        <f>$AG24</f>
        <v>106.82924747498696</v>
      </c>
      <c r="P55" s="11">
        <f>$AG25</f>
        <v>279.15173186282959</v>
      </c>
      <c r="Q55" s="11">
        <f>$AG26</f>
        <v>1160.8864572605562</v>
      </c>
      <c r="R55" s="11">
        <f>$AG27</f>
        <v>2911.2554899048941</v>
      </c>
      <c r="S55" s="11">
        <f>$AG28</f>
        <v>6080.8027591258697</v>
      </c>
      <c r="T55" s="11">
        <f>$AG29</f>
        <v>8394.3031861327163</v>
      </c>
      <c r="U55" s="11">
        <f>$AG30</f>
        <v>9335.4257644283825</v>
      </c>
      <c r="V55" s="231">
        <f>$AG31</f>
        <v>8982.6506462770794</v>
      </c>
      <c r="W55" s="231">
        <f>$AG32</f>
        <v>9191.288365286111</v>
      </c>
      <c r="X55" s="2"/>
      <c r="Y55" s="2"/>
      <c r="Z55" s="2"/>
      <c r="AA55" s="2"/>
    </row>
    <row r="56" spans="1:33" x14ac:dyDescent="0.25">
      <c r="A56" s="2"/>
      <c r="B56" s="2"/>
      <c r="C56" s="2"/>
      <c r="D56" s="2"/>
      <c r="E56" s="2"/>
      <c r="F56" s="2"/>
      <c r="G56" s="2"/>
      <c r="H56" s="2"/>
      <c r="I56" s="2"/>
      <c r="J56" s="2"/>
      <c r="K56" s="2"/>
      <c r="L56" s="2"/>
      <c r="M56" s="2"/>
      <c r="N56" s="2"/>
      <c r="O56" s="2"/>
      <c r="P56" s="2"/>
      <c r="Q56" s="2"/>
      <c r="R56" s="2"/>
      <c r="S56" s="2"/>
      <c r="T56" s="2"/>
      <c r="U56" s="2"/>
      <c r="V56" s="2"/>
      <c r="W56" s="2"/>
      <c r="X56" s="2"/>
    </row>
    <row r="57" spans="1:33" x14ac:dyDescent="0.25">
      <c r="A57" s="2"/>
      <c r="B57" s="2"/>
      <c r="C57" s="2"/>
      <c r="D57" s="2"/>
      <c r="E57" s="2"/>
      <c r="F57" s="2"/>
      <c r="G57" s="2"/>
      <c r="H57" s="2"/>
      <c r="I57" s="2"/>
      <c r="J57" s="2"/>
      <c r="K57" s="2"/>
      <c r="L57" s="2"/>
      <c r="M57" s="2"/>
      <c r="N57" s="2"/>
      <c r="O57" s="2"/>
      <c r="P57" s="2"/>
      <c r="Q57" s="2"/>
      <c r="R57" s="2"/>
      <c r="S57" s="2"/>
      <c r="T57" s="2"/>
      <c r="U57" s="2"/>
      <c r="V57" s="2"/>
      <c r="W57" s="2"/>
      <c r="X57" s="2"/>
    </row>
    <row r="60" spans="1:33" x14ac:dyDescent="0.25">
      <c r="A60" s="565"/>
      <c r="B60" s="565"/>
      <c r="C60" s="565"/>
    </row>
    <row r="62" spans="1:33" ht="15" customHeight="1" x14ac:dyDescent="0.25">
      <c r="AE62" s="89"/>
      <c r="AF62" s="89"/>
      <c r="AG62" s="89"/>
    </row>
    <row r="63" spans="1:33" x14ac:dyDescent="0.25">
      <c r="AE63" s="89"/>
      <c r="AF63" s="89"/>
      <c r="AG63" s="89"/>
    </row>
    <row r="64" spans="1:33" x14ac:dyDescent="0.25">
      <c r="AE64" s="89"/>
      <c r="AF64" s="89"/>
      <c r="AG64" s="89"/>
    </row>
    <row r="65" spans="31:33" x14ac:dyDescent="0.25">
      <c r="AE65" s="89"/>
      <c r="AF65" s="89"/>
      <c r="AG65" s="89"/>
    </row>
    <row r="66" spans="31:33" x14ac:dyDescent="0.25">
      <c r="AE66" s="89"/>
      <c r="AF66" s="89"/>
      <c r="AG66" s="89"/>
    </row>
    <row r="67" spans="31:33" x14ac:dyDescent="0.25">
      <c r="AE67" s="89"/>
      <c r="AF67" s="89"/>
      <c r="AG67" s="89"/>
    </row>
    <row r="68" spans="31:33" x14ac:dyDescent="0.25">
      <c r="AE68" s="89"/>
      <c r="AF68" s="89"/>
      <c r="AG68" s="89"/>
    </row>
    <row r="69" spans="31:33" x14ac:dyDescent="0.25">
      <c r="AE69" s="89"/>
      <c r="AF69" s="89"/>
      <c r="AG69" s="89"/>
    </row>
    <row r="70" spans="31:33" x14ac:dyDescent="0.25">
      <c r="AE70" s="89"/>
      <c r="AF70" s="89"/>
      <c r="AG70" s="89"/>
    </row>
    <row r="71" spans="31:33" x14ac:dyDescent="0.25">
      <c r="AE71" s="89"/>
      <c r="AF71" s="89"/>
      <c r="AG71" s="89"/>
    </row>
    <row r="72" spans="31:33" x14ac:dyDescent="0.25">
      <c r="AE72" s="89"/>
      <c r="AF72" s="89"/>
      <c r="AG72" s="89"/>
    </row>
    <row r="73" spans="31:33" x14ac:dyDescent="0.25">
      <c r="AE73" s="89"/>
      <c r="AF73" s="89"/>
      <c r="AG73" s="89"/>
    </row>
    <row r="83" ht="15" customHeight="1" x14ac:dyDescent="0.25"/>
    <row r="104" ht="15" customHeight="1" x14ac:dyDescent="0.25"/>
    <row r="125" ht="15" customHeight="1" x14ac:dyDescent="0.25"/>
    <row r="146" ht="15" customHeight="1" x14ac:dyDescent="0.25"/>
    <row r="167" ht="15" customHeight="1" x14ac:dyDescent="0.25"/>
    <row r="188" ht="15" customHeight="1" x14ac:dyDescent="0.25"/>
    <row r="209" ht="15" customHeight="1" x14ac:dyDescent="0.25"/>
    <row r="230" ht="15" customHeight="1" x14ac:dyDescent="0.25"/>
    <row r="251" ht="15" customHeight="1" x14ac:dyDescent="0.25"/>
    <row r="272" ht="15" customHeight="1" x14ac:dyDescent="0.25"/>
    <row r="293" ht="15" customHeight="1" x14ac:dyDescent="0.25"/>
    <row r="314" ht="15" customHeight="1" x14ac:dyDescent="0.25"/>
    <row r="335" ht="15" customHeight="1" x14ac:dyDescent="0.25"/>
    <row r="356" ht="15" customHeight="1" x14ac:dyDescent="0.25"/>
    <row r="377" ht="15" customHeight="1" x14ac:dyDescent="0.25"/>
    <row r="398" ht="15" customHeight="1" x14ac:dyDescent="0.25"/>
  </sheetData>
  <mergeCells count="9">
    <mergeCell ref="Z9:AC9"/>
    <mergeCell ref="AD9:AG9"/>
    <mergeCell ref="R9:U9"/>
    <mergeCell ref="A60:C60"/>
    <mergeCell ref="A7:I7"/>
    <mergeCell ref="A8:N8"/>
    <mergeCell ref="B9:N9"/>
    <mergeCell ref="D38:H38"/>
    <mergeCell ref="V9:Y9"/>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60"/>
  <sheetViews>
    <sheetView zoomScale="80" zoomScaleNormal="80" workbookViewId="0">
      <pane xSplit="1" topLeftCell="B1" activePane="topRight" state="frozen"/>
      <selection activeCell="A12" sqref="A12"/>
      <selection pane="topRight"/>
    </sheetView>
  </sheetViews>
  <sheetFormatPr defaultColWidth="8.7109375" defaultRowHeight="15" x14ac:dyDescent="0.25"/>
  <cols>
    <col min="1" max="1" width="43.42578125" customWidth="1"/>
    <col min="2" max="2" width="14" customWidth="1"/>
    <col min="3" max="3" width="12.7109375" customWidth="1"/>
    <col min="4" max="4" width="12.28515625" customWidth="1"/>
    <col min="5" max="5" width="14" customWidth="1"/>
    <col min="6" max="6" width="12" bestFit="1" customWidth="1"/>
    <col min="7" max="7" width="12.42578125" customWidth="1"/>
    <col min="8" max="8" width="12" bestFit="1" customWidth="1"/>
    <col min="9" max="9" width="12.140625" customWidth="1"/>
    <col min="10" max="10" width="12" bestFit="1" customWidth="1"/>
    <col min="11" max="11" width="12" customWidth="1"/>
    <col min="12" max="12" width="12" bestFit="1" customWidth="1"/>
    <col min="13" max="13" width="13.28515625" customWidth="1"/>
    <col min="14" max="14" width="11.7109375" customWidth="1"/>
    <col min="15" max="16" width="12" bestFit="1" customWidth="1"/>
    <col min="17" max="17" width="11.42578125" customWidth="1"/>
    <col min="18" max="18" width="14.42578125" customWidth="1"/>
    <col min="19" max="19" width="14.140625" customWidth="1"/>
    <col min="20" max="20" width="15.140625" customWidth="1"/>
    <col min="21" max="21" width="20.28515625" customWidth="1"/>
    <col min="22" max="22" width="10.7109375" customWidth="1"/>
    <col min="23" max="23" width="12" customWidth="1"/>
  </cols>
  <sheetData>
    <row r="1" spans="1:23" x14ac:dyDescent="0.25">
      <c r="B1" s="152" t="s">
        <v>94</v>
      </c>
      <c r="C1" s="152" t="s">
        <v>95</v>
      </c>
      <c r="D1" s="152" t="s">
        <v>96</v>
      </c>
      <c r="E1" s="152" t="s">
        <v>97</v>
      </c>
      <c r="F1" s="152" t="s">
        <v>98</v>
      </c>
      <c r="G1" s="152" t="s">
        <v>99</v>
      </c>
      <c r="H1" s="152" t="s">
        <v>100</v>
      </c>
      <c r="I1" s="152" t="s">
        <v>101</v>
      </c>
      <c r="J1" s="152" t="s">
        <v>102</v>
      </c>
      <c r="K1" s="152" t="s">
        <v>103</v>
      </c>
      <c r="L1" s="152" t="s">
        <v>104</v>
      </c>
      <c r="M1" s="152" t="s">
        <v>105</v>
      </c>
      <c r="N1" s="152" t="s">
        <v>106</v>
      </c>
      <c r="O1" s="152" t="s">
        <v>107</v>
      </c>
      <c r="P1" s="152" t="s">
        <v>108</v>
      </c>
      <c r="Q1" s="152" t="s">
        <v>109</v>
      </c>
      <c r="R1" s="152" t="s">
        <v>110</v>
      </c>
      <c r="S1" s="152" t="s">
        <v>111</v>
      </c>
      <c r="T1" s="152" t="s">
        <v>112</v>
      </c>
      <c r="U1" s="152" t="s">
        <v>113</v>
      </c>
      <c r="V1" s="152">
        <v>2019</v>
      </c>
      <c r="W1">
        <v>2020</v>
      </c>
    </row>
    <row r="2" spans="1:23" x14ac:dyDescent="0.25">
      <c r="A2" s="25" t="s">
        <v>18</v>
      </c>
      <c r="B2" s="105">
        <f>AVERAGE(H58,H60)</f>
        <v>1910000</v>
      </c>
      <c r="C2" s="105">
        <f t="shared" ref="C2" si="0">AVERAGE(I58,I60)</f>
        <v>2462000</v>
      </c>
      <c r="D2" s="105">
        <f>AVERAGE(J58,J60)</f>
        <v>2394500</v>
      </c>
      <c r="E2" s="105">
        <v>2320000</v>
      </c>
      <c r="F2" s="104">
        <v>2456000</v>
      </c>
      <c r="G2" s="104">
        <v>2422000</v>
      </c>
      <c r="H2" s="104">
        <v>2193000</v>
      </c>
      <c r="I2" s="104">
        <v>2155000</v>
      </c>
      <c r="J2" s="104">
        <v>2159000</v>
      </c>
      <c r="K2" s="104">
        <v>2189000</v>
      </c>
      <c r="L2" s="104">
        <v>2193000</v>
      </c>
      <c r="M2" s="104">
        <v>2013000</v>
      </c>
      <c r="N2" s="104">
        <v>1888000</v>
      </c>
      <c r="O2" s="104">
        <v>1880000</v>
      </c>
      <c r="P2" s="104">
        <v>1539000</v>
      </c>
      <c r="Q2" s="104">
        <v>1425000</v>
      </c>
      <c r="R2" s="104">
        <v>2126000</v>
      </c>
      <c r="S2" s="104">
        <v>2139000</v>
      </c>
      <c r="T2" s="104">
        <v>2010000</v>
      </c>
      <c r="U2" s="104">
        <v>1908000</v>
      </c>
      <c r="V2">
        <v>1607000</v>
      </c>
      <c r="W2" s="446">
        <v>1140337</v>
      </c>
    </row>
    <row r="3" spans="1:23" x14ac:dyDescent="0.25">
      <c r="A3" s="25" t="s">
        <v>19</v>
      </c>
      <c r="B3" s="105">
        <f t="shared" ref="B3:D3" si="1">B2-B4</f>
        <v>1622960.8532816693</v>
      </c>
      <c r="C3" s="105">
        <f t="shared" si="1"/>
        <v>2092005.0370573141</v>
      </c>
      <c r="D3" s="105">
        <f t="shared" si="1"/>
        <v>2034649.0906717053</v>
      </c>
      <c r="E3" s="105">
        <f>E2-E4</f>
        <v>1971345.1202164779</v>
      </c>
      <c r="F3" s="105">
        <f t="shared" ref="F3:U3" si="2">F2-F4</f>
        <v>2086906.7307119267</v>
      </c>
      <c r="G3" s="105">
        <f t="shared" si="2"/>
        <v>2058016.3280880644</v>
      </c>
      <c r="H3" s="105">
        <f t="shared" si="2"/>
        <v>1863430.9692391104</v>
      </c>
      <c r="I3" s="105">
        <f t="shared" si="2"/>
        <v>1831141.6957183233</v>
      </c>
      <c r="J3" s="105">
        <f t="shared" si="2"/>
        <v>1834540.5666152481</v>
      </c>
      <c r="K3" s="105">
        <f t="shared" si="2"/>
        <v>1860032.0983421854</v>
      </c>
      <c r="L3" s="105">
        <f t="shared" si="2"/>
        <v>1863430.9692391104</v>
      </c>
      <c r="M3" s="105">
        <f t="shared" si="2"/>
        <v>1710481.7788774869</v>
      </c>
      <c r="N3" s="105">
        <f t="shared" si="2"/>
        <v>1604267.063348582</v>
      </c>
      <c r="O3" s="105">
        <f t="shared" si="2"/>
        <v>1597469.321554732</v>
      </c>
      <c r="P3" s="105">
        <f t="shared" si="2"/>
        <v>1307715.5775918791</v>
      </c>
      <c r="Q3" s="105">
        <f t="shared" si="2"/>
        <v>1210847.7570295176</v>
      </c>
      <c r="R3" s="105">
        <f t="shared" si="2"/>
        <v>1163513.1208599422</v>
      </c>
      <c r="S3" s="105">
        <f t="shared" si="2"/>
        <v>1170627.7354277594</v>
      </c>
      <c r="T3" s="105">
        <f t="shared" si="2"/>
        <v>1100028.8677932662</v>
      </c>
      <c r="U3" s="105">
        <f t="shared" si="2"/>
        <v>1044206.5073380854</v>
      </c>
      <c r="V3" s="105">
        <f>V2-V4</f>
        <v>879475.81619093462</v>
      </c>
      <c r="W3" s="105">
        <f>W2-W4</f>
        <v>624081.40249391529</v>
      </c>
    </row>
    <row r="4" spans="1:23" x14ac:dyDescent="0.25">
      <c r="A4" s="158" t="s">
        <v>20</v>
      </c>
      <c r="B4" s="105">
        <f>B2*$W$31</f>
        <v>287039.14671833068</v>
      </c>
      <c r="C4" s="105">
        <f t="shared" ref="C4:D4" si="3">C2*$W$31</f>
        <v>369994.96294268593</v>
      </c>
      <c r="D4" s="105">
        <f t="shared" si="3"/>
        <v>359850.90932829469</v>
      </c>
      <c r="E4" s="105">
        <f>E2*$W$31</f>
        <v>348654.8797835221</v>
      </c>
      <c r="F4" s="105">
        <f t="shared" ref="F4:Q4" si="4">F2*$W$31</f>
        <v>369093.26928807341</v>
      </c>
      <c r="G4" s="105">
        <f t="shared" si="4"/>
        <v>363983.67191193555</v>
      </c>
      <c r="H4" s="105">
        <f t="shared" si="4"/>
        <v>329569.03076088964</v>
      </c>
      <c r="I4" s="105">
        <f t="shared" si="4"/>
        <v>323858.30428167677</v>
      </c>
      <c r="J4" s="105">
        <f t="shared" si="4"/>
        <v>324459.43338475178</v>
      </c>
      <c r="K4" s="105">
        <f t="shared" si="4"/>
        <v>328967.90165781457</v>
      </c>
      <c r="L4" s="105">
        <f t="shared" si="4"/>
        <v>329569.03076088964</v>
      </c>
      <c r="M4" s="105">
        <f t="shared" si="4"/>
        <v>302518.22112251294</v>
      </c>
      <c r="N4" s="105">
        <f t="shared" si="4"/>
        <v>283732.93665141799</v>
      </c>
      <c r="O4" s="105">
        <f t="shared" si="4"/>
        <v>282530.6784452679</v>
      </c>
      <c r="P4" s="105">
        <f t="shared" si="4"/>
        <v>231284.42240812091</v>
      </c>
      <c r="Q4" s="105">
        <f t="shared" si="4"/>
        <v>214152.24297048233</v>
      </c>
      <c r="R4" s="105">
        <f>R2*$V$31</f>
        <v>962486.87914005783</v>
      </c>
      <c r="S4" s="105">
        <f t="shared" ref="S4:U4" si="5">S2*$V$31</f>
        <v>968372.26457224065</v>
      </c>
      <c r="T4" s="105">
        <f t="shared" si="5"/>
        <v>909971.13220673392</v>
      </c>
      <c r="U4" s="105">
        <f t="shared" si="5"/>
        <v>863793.49266191456</v>
      </c>
      <c r="V4" s="105">
        <f>V2*$V$31</f>
        <v>727524.18380906538</v>
      </c>
      <c r="W4" s="105">
        <f>W2*$V$31</f>
        <v>516255.59750608471</v>
      </c>
    </row>
    <row r="5" spans="1:23" x14ac:dyDescent="0.25">
      <c r="A5" s="158" t="s">
        <v>21</v>
      </c>
      <c r="B5" s="105">
        <f>H59</f>
        <v>104000</v>
      </c>
      <c r="C5" s="105">
        <f t="shared" ref="C5:D5" si="6">I59</f>
        <v>114000</v>
      </c>
      <c r="D5" s="105">
        <f t="shared" si="6"/>
        <v>154000</v>
      </c>
      <c r="E5" s="105">
        <f>C42</f>
        <v>117000</v>
      </c>
      <c r="F5" s="105">
        <f t="shared" ref="F5:U5" si="7">D42</f>
        <v>92000</v>
      </c>
      <c r="G5" s="105">
        <f t="shared" si="7"/>
        <v>118000</v>
      </c>
      <c r="H5" s="105">
        <f t="shared" si="7"/>
        <v>108000</v>
      </c>
      <c r="I5" s="105">
        <f t="shared" si="7"/>
        <v>90000</v>
      </c>
      <c r="J5" s="105">
        <f t="shared" si="7"/>
        <v>106000</v>
      </c>
      <c r="K5" s="105">
        <f t="shared" si="7"/>
        <v>116000</v>
      </c>
      <c r="L5" s="105">
        <f t="shared" si="7"/>
        <v>187000</v>
      </c>
      <c r="M5" s="105">
        <f t="shared" si="7"/>
        <v>142000</v>
      </c>
      <c r="N5" s="105">
        <f t="shared" si="7"/>
        <v>178000</v>
      </c>
      <c r="O5" s="105">
        <f t="shared" si="7"/>
        <v>156000</v>
      </c>
      <c r="P5" s="105">
        <f t="shared" si="7"/>
        <v>169000</v>
      </c>
      <c r="Q5" s="105">
        <f t="shared" si="7"/>
        <v>212000</v>
      </c>
      <c r="R5" s="105">
        <f t="shared" si="7"/>
        <v>135000</v>
      </c>
      <c r="S5" s="105">
        <f t="shared" si="7"/>
        <v>170000</v>
      </c>
      <c r="T5" s="105">
        <f t="shared" si="7"/>
        <v>81000</v>
      </c>
      <c r="U5" s="105">
        <f t="shared" si="7"/>
        <v>117000</v>
      </c>
      <c r="V5" s="105">
        <f>T42</f>
        <v>50000</v>
      </c>
      <c r="W5" s="105">
        <f>U42</f>
        <v>103000</v>
      </c>
    </row>
    <row r="6" spans="1:23" x14ac:dyDescent="0.25">
      <c r="A6" s="25" t="s">
        <v>22</v>
      </c>
      <c r="B6" s="105">
        <f>$B$5*(E6/$E$5)</f>
        <v>29000</v>
      </c>
      <c r="C6" s="105">
        <f>$C$5*(E6/$E$5)</f>
        <v>31788.461538461539</v>
      </c>
      <c r="D6" s="105">
        <f>$D$5*(E6/$E$5)</f>
        <v>42942.307692307695</v>
      </c>
      <c r="E6" s="105">
        <f>C45</f>
        <v>32625</v>
      </c>
      <c r="F6" s="105">
        <f t="shared" ref="F6:U8" si="8">D45</f>
        <v>25653.846153846156</v>
      </c>
      <c r="G6" s="105">
        <f t="shared" si="8"/>
        <v>31052.631578947367</v>
      </c>
      <c r="H6" s="105">
        <f t="shared" si="8"/>
        <v>28421.052631578947</v>
      </c>
      <c r="I6" s="105">
        <f t="shared" si="8"/>
        <v>30306.12244897959</v>
      </c>
      <c r="J6" s="105">
        <f t="shared" si="8"/>
        <v>35693.877551020407</v>
      </c>
      <c r="K6" s="105">
        <f t="shared" si="8"/>
        <v>34800</v>
      </c>
      <c r="L6" s="105">
        <f t="shared" si="8"/>
        <v>56100</v>
      </c>
      <c r="M6" s="105">
        <f t="shared" si="8"/>
        <v>61358.024691358019</v>
      </c>
      <c r="N6" s="105">
        <f t="shared" si="8"/>
        <v>76913.580246913582</v>
      </c>
      <c r="O6" s="105">
        <f t="shared" si="8"/>
        <v>74650.306748466261</v>
      </c>
      <c r="P6" s="105">
        <f t="shared" si="8"/>
        <v>80871.165644171779</v>
      </c>
      <c r="Q6" s="105">
        <f t="shared" si="8"/>
        <v>81100.671140939594</v>
      </c>
      <c r="R6" s="105">
        <f t="shared" si="8"/>
        <v>51644.295302013423</v>
      </c>
      <c r="S6" s="105">
        <f t="shared" si="8"/>
        <v>65033.557046979869</v>
      </c>
      <c r="T6" s="105">
        <f t="shared" si="8"/>
        <v>28317.07317073171</v>
      </c>
      <c r="U6" s="105">
        <f t="shared" si="8"/>
        <v>43588.23529411765</v>
      </c>
      <c r="V6" s="105">
        <f>T45</f>
        <v>18292.682926829268</v>
      </c>
    </row>
    <row r="7" spans="1:23" x14ac:dyDescent="0.25">
      <c r="A7" s="25" t="s">
        <v>288</v>
      </c>
      <c r="B7" s="105">
        <f>$B$5*(E7/$E$5)</f>
        <v>40000</v>
      </c>
      <c r="C7" s="105">
        <f>$C$5*(E7/$E$5)</f>
        <v>43846.153846153851</v>
      </c>
      <c r="D7" s="105">
        <f>$D$5*(E7/$E$5)</f>
        <v>59230.769230769234</v>
      </c>
      <c r="E7" s="105">
        <f t="shared" ref="E7:T8" si="9">C46</f>
        <v>45000</v>
      </c>
      <c r="F7" s="105">
        <f t="shared" si="9"/>
        <v>35384.61538461539</v>
      </c>
      <c r="G7" s="105">
        <f t="shared" si="9"/>
        <v>43473.684210526313</v>
      </c>
      <c r="H7" s="105">
        <f t="shared" si="9"/>
        <v>39789.473684210527</v>
      </c>
      <c r="I7" s="105">
        <f t="shared" si="9"/>
        <v>37653.0612244898</v>
      </c>
      <c r="J7" s="105">
        <f t="shared" si="9"/>
        <v>44346.938775510207</v>
      </c>
      <c r="K7" s="105">
        <f t="shared" si="9"/>
        <v>50266.666666666672</v>
      </c>
      <c r="L7" s="105">
        <f t="shared" si="9"/>
        <v>81033.333333333343</v>
      </c>
      <c r="M7" s="105">
        <f t="shared" si="9"/>
        <v>50839.506172839501</v>
      </c>
      <c r="N7" s="105">
        <f t="shared" si="9"/>
        <v>63728.395061728392</v>
      </c>
      <c r="O7" s="105">
        <f t="shared" si="9"/>
        <v>57423.312883435581</v>
      </c>
      <c r="P7" s="105">
        <f t="shared" si="9"/>
        <v>62208.58895705521</v>
      </c>
      <c r="Q7" s="105">
        <f t="shared" si="9"/>
        <v>78255.033557046991</v>
      </c>
      <c r="R7" s="105">
        <f t="shared" si="9"/>
        <v>49832.214765100674</v>
      </c>
      <c r="S7" s="105">
        <f t="shared" si="9"/>
        <v>62751.677852348999</v>
      </c>
      <c r="T7" s="105">
        <f t="shared" si="9"/>
        <v>36878.048780487807</v>
      </c>
      <c r="U7" s="105">
        <f t="shared" si="8"/>
        <v>40147.058823529413</v>
      </c>
      <c r="V7" s="105">
        <f>T46</f>
        <v>10365.853658536585</v>
      </c>
    </row>
    <row r="8" spans="1:23" x14ac:dyDescent="0.25">
      <c r="A8" s="25" t="s">
        <v>289</v>
      </c>
      <c r="B8" s="105">
        <f>B5-B6-B7</f>
        <v>35000</v>
      </c>
      <c r="C8" s="105">
        <f>C5-C6-C7</f>
        <v>38365.384615384617</v>
      </c>
      <c r="D8" s="105">
        <f>D5-D6-D7</f>
        <v>51826.923076923078</v>
      </c>
      <c r="E8" s="105">
        <f t="shared" si="9"/>
        <v>39375</v>
      </c>
      <c r="F8" s="105">
        <f t="shared" si="8"/>
        <v>30961.538461538465</v>
      </c>
      <c r="G8" s="105">
        <f t="shared" si="8"/>
        <v>43473.684210526313</v>
      </c>
      <c r="H8" s="105">
        <f t="shared" si="8"/>
        <v>39789.473684210527</v>
      </c>
      <c r="I8" s="105">
        <f t="shared" si="8"/>
        <v>22040.81632653061</v>
      </c>
      <c r="J8" s="105">
        <f t="shared" si="8"/>
        <v>25959.183673469386</v>
      </c>
      <c r="K8" s="105">
        <f t="shared" si="8"/>
        <v>30933.333333333332</v>
      </c>
      <c r="L8" s="105">
        <f t="shared" si="8"/>
        <v>49866.666666666664</v>
      </c>
      <c r="M8" s="105">
        <f t="shared" si="8"/>
        <v>29802.469135802468</v>
      </c>
      <c r="N8" s="105">
        <f t="shared" si="8"/>
        <v>37358.024691358019</v>
      </c>
      <c r="O8" s="105">
        <f t="shared" si="8"/>
        <v>23926.380368098158</v>
      </c>
      <c r="P8" s="105">
        <f t="shared" si="8"/>
        <v>25920.245398773008</v>
      </c>
      <c r="Q8" s="105">
        <f t="shared" si="8"/>
        <v>52644.295302013415</v>
      </c>
      <c r="R8" s="105">
        <f t="shared" si="8"/>
        <v>33523.489932885903</v>
      </c>
      <c r="S8" s="105">
        <f t="shared" si="8"/>
        <v>42214.765100671138</v>
      </c>
      <c r="T8" s="105">
        <f t="shared" si="8"/>
        <v>15804.878048780489</v>
      </c>
      <c r="U8" s="105">
        <f t="shared" si="8"/>
        <v>33264.705882352937</v>
      </c>
      <c r="V8" s="105">
        <f>T47</f>
        <v>21341.463414634145</v>
      </c>
    </row>
    <row r="9" spans="1:23" ht="47.25" customHeight="1" x14ac:dyDescent="0.25">
      <c r="A9" s="603" t="s">
        <v>290</v>
      </c>
      <c r="B9" s="603"/>
      <c r="C9" s="603"/>
      <c r="D9" s="603"/>
      <c r="E9" s="603"/>
      <c r="F9" s="603"/>
      <c r="G9" s="603"/>
      <c r="H9" s="603"/>
      <c r="I9" s="603"/>
    </row>
    <row r="10" spans="1:23" x14ac:dyDescent="0.25">
      <c r="A10" s="434"/>
      <c r="B10" s="434"/>
      <c r="C10" s="434"/>
      <c r="D10" s="434"/>
      <c r="E10" s="434"/>
      <c r="F10" s="434"/>
      <c r="G10" s="434"/>
      <c r="H10" s="434"/>
      <c r="I10" s="434"/>
    </row>
    <row r="11" spans="1:23" ht="120" customHeight="1" x14ac:dyDescent="0.25">
      <c r="A11" s="601" t="s">
        <v>521</v>
      </c>
      <c r="B11" s="601"/>
      <c r="C11" s="601"/>
      <c r="D11" s="601"/>
      <c r="E11" s="601"/>
      <c r="F11" s="601"/>
      <c r="G11" s="601"/>
      <c r="H11" s="601"/>
    </row>
    <row r="12" spans="1:23" ht="105" x14ac:dyDescent="0.25">
      <c r="A12" s="48" t="s">
        <v>131</v>
      </c>
      <c r="B12" s="48" t="s">
        <v>291</v>
      </c>
      <c r="C12" s="48" t="s">
        <v>292</v>
      </c>
      <c r="D12" s="48" t="s">
        <v>293</v>
      </c>
      <c r="E12" s="48" t="s">
        <v>294</v>
      </c>
      <c r="F12" s="48" t="s">
        <v>295</v>
      </c>
      <c r="G12" s="48" t="s">
        <v>296</v>
      </c>
      <c r="H12" s="48" t="s">
        <v>297</v>
      </c>
      <c r="I12" s="48" t="s">
        <v>298</v>
      </c>
      <c r="J12" s="48" t="s">
        <v>299</v>
      </c>
      <c r="K12" s="48" t="s">
        <v>300</v>
      </c>
      <c r="L12" s="48" t="s">
        <v>301</v>
      </c>
      <c r="M12" s="48" t="s">
        <v>302</v>
      </c>
      <c r="N12" s="48" t="s">
        <v>303</v>
      </c>
      <c r="O12" s="48" t="s">
        <v>304</v>
      </c>
      <c r="P12" s="48" t="s">
        <v>305</v>
      </c>
      <c r="Q12" s="48" t="s">
        <v>306</v>
      </c>
      <c r="R12" s="48" t="s">
        <v>307</v>
      </c>
      <c r="S12" s="48" t="s">
        <v>308</v>
      </c>
      <c r="T12" s="48" t="s">
        <v>309</v>
      </c>
      <c r="U12" s="48" t="s">
        <v>310</v>
      </c>
      <c r="V12" s="48" t="s">
        <v>311</v>
      </c>
      <c r="W12" s="48" t="s">
        <v>312</v>
      </c>
    </row>
    <row r="13" spans="1:23" x14ac:dyDescent="0.25">
      <c r="A13" t="s">
        <v>313</v>
      </c>
      <c r="B13" s="18">
        <v>351000</v>
      </c>
      <c r="C13" s="18">
        <v>3372000</v>
      </c>
      <c r="D13" s="18">
        <v>104000</v>
      </c>
      <c r="E13" s="18">
        <v>80000</v>
      </c>
      <c r="F13" s="18">
        <v>29000</v>
      </c>
      <c r="G13" s="18">
        <f>H13-F13</f>
        <v>40000</v>
      </c>
      <c r="H13" s="18">
        <v>69000</v>
      </c>
      <c r="I13" s="18">
        <f t="shared" ref="I13:I29" si="10">D13-H13</f>
        <v>35000</v>
      </c>
      <c r="J13" s="26">
        <f>F13/D13</f>
        <v>0.27884615384615385</v>
      </c>
      <c r="K13" s="26">
        <f>G13/D13</f>
        <v>0.38461538461538464</v>
      </c>
      <c r="L13" s="26">
        <f>(D13-H13)/D13</f>
        <v>0.33653846153846156</v>
      </c>
      <c r="M13" s="18">
        <v>196000</v>
      </c>
      <c r="N13" s="18">
        <v>11286000</v>
      </c>
      <c r="O13" s="18">
        <v>18973000</v>
      </c>
      <c r="P13" s="18">
        <v>2353000</v>
      </c>
      <c r="Q13" s="18">
        <v>30000</v>
      </c>
      <c r="R13" s="18">
        <v>15000</v>
      </c>
      <c r="S13" s="18">
        <v>1449000</v>
      </c>
      <c r="T13" t="s">
        <v>314</v>
      </c>
      <c r="U13" t="s">
        <v>314</v>
      </c>
      <c r="V13" t="s">
        <v>314</v>
      </c>
      <c r="W13" t="s">
        <v>314</v>
      </c>
    </row>
    <row r="14" spans="1:23" x14ac:dyDescent="0.25">
      <c r="A14" s="166" t="s">
        <v>315</v>
      </c>
      <c r="B14" s="167"/>
      <c r="C14" s="167"/>
      <c r="D14" s="167"/>
      <c r="E14" s="167"/>
      <c r="F14" s="167"/>
      <c r="G14" s="167"/>
      <c r="H14" s="167"/>
      <c r="I14" s="168">
        <f t="shared" si="10"/>
        <v>0</v>
      </c>
      <c r="J14" s="169"/>
      <c r="K14" s="169"/>
      <c r="L14" s="169"/>
      <c r="M14" s="167"/>
      <c r="N14" s="167"/>
      <c r="O14" s="167"/>
      <c r="P14" s="166"/>
      <c r="Q14" s="166"/>
      <c r="R14" s="167"/>
      <c r="S14" s="167"/>
      <c r="T14" s="166"/>
      <c r="U14" s="166"/>
      <c r="V14" s="166"/>
      <c r="W14" s="170"/>
    </row>
    <row r="15" spans="1:23" x14ac:dyDescent="0.25">
      <c r="A15" t="s">
        <v>316</v>
      </c>
      <c r="B15" s="18">
        <v>388000</v>
      </c>
      <c r="C15" s="18">
        <v>2928000</v>
      </c>
      <c r="D15" s="18">
        <v>114000</v>
      </c>
      <c r="E15" s="18">
        <v>88000</v>
      </c>
      <c r="F15" s="18">
        <v>30000</v>
      </c>
      <c r="G15" s="18">
        <f>H15-F15</f>
        <v>42000</v>
      </c>
      <c r="H15" s="18">
        <v>72000</v>
      </c>
      <c r="I15" s="18">
        <f t="shared" si="10"/>
        <v>42000</v>
      </c>
      <c r="J15" s="26">
        <f>F15/D15</f>
        <v>0.26315789473684209</v>
      </c>
      <c r="K15" s="26">
        <f>G15/D15</f>
        <v>0.36842105263157893</v>
      </c>
      <c r="L15" s="26">
        <f>(D15-H15)/D15</f>
        <v>0.36842105263157893</v>
      </c>
      <c r="M15" s="18">
        <v>246000</v>
      </c>
      <c r="N15" s="18">
        <v>11489000</v>
      </c>
      <c r="O15" s="18">
        <v>20672000</v>
      </c>
      <c r="P15" s="18">
        <v>2311000</v>
      </c>
      <c r="Q15" s="18">
        <v>24000</v>
      </c>
      <c r="R15" s="18">
        <v>15000</v>
      </c>
      <c r="S15" s="18">
        <v>1476000</v>
      </c>
      <c r="T15" t="s">
        <v>314</v>
      </c>
      <c r="U15" t="s">
        <v>314</v>
      </c>
      <c r="V15" t="s">
        <v>314</v>
      </c>
      <c r="W15" t="s">
        <v>314</v>
      </c>
    </row>
    <row r="16" spans="1:23" x14ac:dyDescent="0.25">
      <c r="A16" s="166" t="s">
        <v>317</v>
      </c>
      <c r="B16" s="167"/>
      <c r="C16" s="167"/>
      <c r="D16" s="167"/>
      <c r="E16" s="167"/>
      <c r="F16" s="167"/>
      <c r="G16" s="167"/>
      <c r="H16" s="167"/>
      <c r="I16" s="168">
        <f t="shared" si="10"/>
        <v>0</v>
      </c>
      <c r="J16" s="169"/>
      <c r="K16" s="169"/>
      <c r="L16" s="169"/>
      <c r="M16" s="167"/>
      <c r="N16" s="167"/>
      <c r="O16" s="167"/>
      <c r="P16" s="166"/>
      <c r="Q16" s="166"/>
      <c r="R16" s="167"/>
      <c r="S16" s="167"/>
      <c r="T16" s="166"/>
      <c r="U16" s="166"/>
      <c r="V16" s="166"/>
      <c r="W16" s="170"/>
    </row>
    <row r="17" spans="1:23" x14ac:dyDescent="0.25">
      <c r="A17" t="s">
        <v>318</v>
      </c>
      <c r="B17" s="18">
        <v>465000</v>
      </c>
      <c r="C17" s="18">
        <v>3331000</v>
      </c>
      <c r="D17" s="18">
        <v>98000</v>
      </c>
      <c r="E17" s="18">
        <v>82000</v>
      </c>
      <c r="F17" s="18">
        <v>33000</v>
      </c>
      <c r="G17" s="18">
        <f>H17-F17</f>
        <v>41000</v>
      </c>
      <c r="H17" s="18">
        <v>74000</v>
      </c>
      <c r="I17" s="18">
        <f t="shared" si="10"/>
        <v>24000</v>
      </c>
      <c r="J17" s="26">
        <f>F17/D17</f>
        <v>0.33673469387755101</v>
      </c>
      <c r="K17" s="26">
        <f>G17/D17</f>
        <v>0.41836734693877553</v>
      </c>
      <c r="L17" s="26">
        <f>(D17-H17)/D17</f>
        <v>0.24489795918367346</v>
      </c>
      <c r="M17" s="18">
        <v>275000</v>
      </c>
      <c r="N17" s="18">
        <v>12573000</v>
      </c>
      <c r="O17" s="18">
        <v>20755000</v>
      </c>
      <c r="P17" s="18">
        <v>2178000</v>
      </c>
      <c r="Q17" s="18">
        <v>45000</v>
      </c>
      <c r="R17" s="18">
        <v>15000</v>
      </c>
      <c r="S17" s="18">
        <v>1665000</v>
      </c>
      <c r="T17" s="18">
        <v>315000</v>
      </c>
      <c r="U17" t="s">
        <v>319</v>
      </c>
      <c r="W17">
        <f>T17/P17</f>
        <v>0.14462809917355371</v>
      </c>
    </row>
    <row r="18" spans="1:23" x14ac:dyDescent="0.25">
      <c r="A18" s="166" t="s">
        <v>320</v>
      </c>
      <c r="B18" s="167"/>
      <c r="C18" s="167"/>
      <c r="D18" s="167"/>
      <c r="E18" s="167"/>
      <c r="F18" s="167"/>
      <c r="G18" s="167"/>
      <c r="H18" s="167"/>
      <c r="I18" s="168">
        <f t="shared" si="10"/>
        <v>0</v>
      </c>
      <c r="J18" s="169"/>
      <c r="K18" s="169"/>
      <c r="L18" s="169"/>
      <c r="M18" s="167"/>
      <c r="N18" s="167"/>
      <c r="O18" s="167"/>
      <c r="P18" s="166"/>
      <c r="Q18" s="166"/>
      <c r="R18" s="167"/>
      <c r="S18" s="167"/>
      <c r="T18" s="166"/>
      <c r="U18" s="166"/>
      <c r="V18" s="166"/>
      <c r="W18" s="170"/>
    </row>
    <row r="19" spans="1:23" x14ac:dyDescent="0.25">
      <c r="A19" t="s">
        <v>321</v>
      </c>
      <c r="B19" s="18">
        <v>517000</v>
      </c>
      <c r="C19" s="18">
        <v>3230000</v>
      </c>
      <c r="D19" s="18">
        <v>150000</v>
      </c>
      <c r="E19" s="18">
        <v>123000</v>
      </c>
      <c r="F19" s="18">
        <v>45000</v>
      </c>
      <c r="G19" s="18">
        <f>H19-F19</f>
        <v>65000</v>
      </c>
      <c r="H19" s="18">
        <v>110000</v>
      </c>
      <c r="I19" s="18">
        <f t="shared" si="10"/>
        <v>40000</v>
      </c>
      <c r="J19" s="26">
        <f>F19/D19</f>
        <v>0.3</v>
      </c>
      <c r="K19" s="26">
        <f>G19/D19</f>
        <v>0.43333333333333335</v>
      </c>
      <c r="L19" s="26">
        <f>(D19-H19)/D19</f>
        <v>0.26666666666666666</v>
      </c>
      <c r="M19" s="18">
        <v>326000</v>
      </c>
      <c r="N19" s="18">
        <v>12156000</v>
      </c>
      <c r="O19" s="18">
        <v>22918000</v>
      </c>
      <c r="P19" s="18">
        <v>2188000</v>
      </c>
      <c r="Q19" s="18">
        <v>51000</v>
      </c>
      <c r="R19" s="18">
        <v>16000</v>
      </c>
      <c r="S19" s="18">
        <v>1784000</v>
      </c>
      <c r="T19" s="18">
        <v>334000</v>
      </c>
      <c r="U19" t="s">
        <v>319</v>
      </c>
      <c r="W19">
        <f>T19/P19</f>
        <v>0.15265082266910421</v>
      </c>
    </row>
    <row r="20" spans="1:23" x14ac:dyDescent="0.25">
      <c r="A20" s="166" t="s">
        <v>322</v>
      </c>
      <c r="B20" s="167"/>
      <c r="C20" s="167"/>
      <c r="D20" s="167"/>
      <c r="E20" s="167"/>
      <c r="F20" s="167"/>
      <c r="G20" s="167"/>
      <c r="H20" s="167"/>
      <c r="I20" s="168">
        <f t="shared" si="10"/>
        <v>0</v>
      </c>
      <c r="J20" s="169"/>
      <c r="K20" s="169"/>
      <c r="L20" s="169"/>
      <c r="M20" s="167"/>
      <c r="N20" s="167"/>
      <c r="O20" s="167"/>
      <c r="P20" s="166"/>
      <c r="Q20" s="166"/>
      <c r="R20" s="167"/>
      <c r="S20" s="167"/>
      <c r="T20" s="166"/>
      <c r="U20" s="166"/>
      <c r="V20" s="166"/>
      <c r="W20" s="170"/>
    </row>
    <row r="21" spans="1:23" x14ac:dyDescent="0.25">
      <c r="A21" t="s">
        <v>323</v>
      </c>
      <c r="B21" s="18">
        <v>638000</v>
      </c>
      <c r="C21" s="18">
        <v>3584000</v>
      </c>
      <c r="D21" s="18">
        <v>162000</v>
      </c>
      <c r="E21" s="18">
        <v>149000</v>
      </c>
      <c r="F21" s="18">
        <v>70000</v>
      </c>
      <c r="G21" s="18">
        <f>H21-F21</f>
        <v>58000</v>
      </c>
      <c r="H21" s="18">
        <v>128000</v>
      </c>
      <c r="I21" s="18">
        <f t="shared" si="10"/>
        <v>34000</v>
      </c>
      <c r="J21" s="26">
        <f>F21/D21</f>
        <v>0.43209876543209874</v>
      </c>
      <c r="K21" s="26">
        <f>G21/D21</f>
        <v>0.35802469135802467</v>
      </c>
      <c r="L21" s="26">
        <f>(D21-H21)/D21</f>
        <v>0.20987654320987653</v>
      </c>
      <c r="M21" s="18">
        <v>400000</v>
      </c>
      <c r="N21" s="18">
        <v>11797000</v>
      </c>
      <c r="O21" s="18">
        <v>22910000</v>
      </c>
      <c r="P21" s="18">
        <v>1950000</v>
      </c>
      <c r="Q21" s="18">
        <v>47000</v>
      </c>
      <c r="R21" s="18">
        <v>27000</v>
      </c>
      <c r="S21" s="18">
        <v>1864000</v>
      </c>
      <c r="T21" s="18">
        <v>259000</v>
      </c>
      <c r="U21" t="s">
        <v>319</v>
      </c>
      <c r="W21">
        <f>T21/P21</f>
        <v>0.13282051282051283</v>
      </c>
    </row>
    <row r="22" spans="1:23" x14ac:dyDescent="0.25">
      <c r="A22" s="166" t="s">
        <v>324</v>
      </c>
      <c r="B22" s="167"/>
      <c r="C22" s="167"/>
      <c r="D22" s="167"/>
      <c r="E22" s="167"/>
      <c r="F22" s="167"/>
      <c r="G22" s="167"/>
      <c r="H22" s="167"/>
      <c r="I22" s="168">
        <f t="shared" si="10"/>
        <v>0</v>
      </c>
      <c r="J22" s="169"/>
      <c r="K22" s="169"/>
      <c r="L22" s="169"/>
      <c r="M22" s="167"/>
      <c r="N22" s="167"/>
      <c r="O22" s="167"/>
      <c r="P22" s="166"/>
      <c r="Q22" s="166"/>
      <c r="R22" s="167"/>
      <c r="S22" s="167"/>
      <c r="T22" s="166"/>
      <c r="U22" s="166"/>
      <c r="V22" s="166"/>
      <c r="W22" s="170"/>
    </row>
    <row r="23" spans="1:23" x14ac:dyDescent="0.25">
      <c r="A23" t="s">
        <v>325</v>
      </c>
      <c r="B23" s="18">
        <v>666000</v>
      </c>
      <c r="C23" s="18">
        <v>4004000</v>
      </c>
      <c r="D23" s="18">
        <v>163000</v>
      </c>
      <c r="E23" s="18">
        <v>155000</v>
      </c>
      <c r="F23" s="18">
        <v>78000</v>
      </c>
      <c r="G23" s="18">
        <f>H23-F23</f>
        <v>60000</v>
      </c>
      <c r="H23" s="18">
        <v>138000</v>
      </c>
      <c r="I23" s="18">
        <f t="shared" si="10"/>
        <v>25000</v>
      </c>
      <c r="J23" s="26">
        <f>F23/D23</f>
        <v>0.4785276073619632</v>
      </c>
      <c r="K23" s="26">
        <f>G23/D23</f>
        <v>0.36809815950920244</v>
      </c>
      <c r="L23" s="26">
        <f>(D23-H23)/D23</f>
        <v>0.15337423312883436</v>
      </c>
      <c r="M23" s="18">
        <v>488000</v>
      </c>
      <c r="N23" s="18">
        <v>11777000</v>
      </c>
      <c r="O23" s="18">
        <v>24483000</v>
      </c>
      <c r="P23" s="18">
        <v>1719000</v>
      </c>
      <c r="Q23" s="18">
        <v>18000</v>
      </c>
      <c r="R23" s="18">
        <v>14000</v>
      </c>
      <c r="S23" s="18">
        <v>1955000</v>
      </c>
      <c r="T23" s="18">
        <v>294000</v>
      </c>
      <c r="U23" t="s">
        <v>319</v>
      </c>
      <c r="W23">
        <f>T23/P23</f>
        <v>0.17102966841186737</v>
      </c>
    </row>
    <row r="24" spans="1:23" x14ac:dyDescent="0.25">
      <c r="A24" s="166" t="s">
        <v>326</v>
      </c>
      <c r="B24" s="167"/>
      <c r="C24" s="167"/>
      <c r="D24" s="167"/>
      <c r="E24" s="167"/>
      <c r="F24" s="167"/>
      <c r="G24" s="167"/>
      <c r="H24" s="167"/>
      <c r="I24" s="168">
        <f t="shared" si="10"/>
        <v>0</v>
      </c>
      <c r="J24" s="169"/>
      <c r="K24" s="169"/>
      <c r="L24" s="169"/>
      <c r="M24" s="167"/>
      <c r="N24" s="167"/>
      <c r="O24" s="167"/>
      <c r="P24" s="166"/>
      <c r="Q24" s="166"/>
      <c r="R24" s="167"/>
      <c r="S24" s="167"/>
      <c r="T24" s="166"/>
      <c r="U24" s="166"/>
      <c r="V24" s="170"/>
      <c r="W24" s="170"/>
    </row>
    <row r="25" spans="1:23" x14ac:dyDescent="0.25">
      <c r="A25" t="s">
        <v>327</v>
      </c>
      <c r="B25" s="18">
        <v>883000</v>
      </c>
      <c r="C25" s="18">
        <v>2072000</v>
      </c>
      <c r="D25" s="18">
        <v>171000</v>
      </c>
      <c r="E25" s="167"/>
      <c r="F25" s="167"/>
      <c r="G25" s="167"/>
      <c r="H25" s="167"/>
      <c r="I25" s="168">
        <f t="shared" si="10"/>
        <v>171000</v>
      </c>
      <c r="J25" s="169"/>
      <c r="K25" s="169"/>
      <c r="L25" s="169"/>
      <c r="M25" s="18">
        <v>597000</v>
      </c>
      <c r="N25" s="167"/>
      <c r="O25" s="167"/>
      <c r="P25" s="166"/>
      <c r="Q25" s="166"/>
      <c r="R25" s="167"/>
      <c r="S25" s="167"/>
      <c r="T25" s="167"/>
      <c r="U25" s="167"/>
      <c r="V25" s="170"/>
      <c r="W25" s="170"/>
    </row>
    <row r="26" spans="1:23" x14ac:dyDescent="0.25">
      <c r="A26" t="s">
        <v>328</v>
      </c>
      <c r="B26" s="18">
        <v>895000</v>
      </c>
      <c r="C26" s="18">
        <v>4150000</v>
      </c>
      <c r="D26" s="18">
        <v>149000</v>
      </c>
      <c r="E26" s="18">
        <v>119000</v>
      </c>
      <c r="F26" s="18">
        <v>57000</v>
      </c>
      <c r="G26" s="18">
        <f>H26-F26</f>
        <v>55000</v>
      </c>
      <c r="H26" s="18">
        <v>112000</v>
      </c>
      <c r="I26" s="18">
        <f t="shared" si="10"/>
        <v>37000</v>
      </c>
      <c r="J26" s="26">
        <f>F26/D26</f>
        <v>0.3825503355704698</v>
      </c>
      <c r="K26" s="26">
        <f>G26/D26</f>
        <v>0.36912751677852351</v>
      </c>
      <c r="L26" s="26">
        <f>(D26-H26)/D26</f>
        <v>0.24832214765100671</v>
      </c>
      <c r="M26" s="18">
        <v>611000</v>
      </c>
      <c r="N26" s="18">
        <v>11971000</v>
      </c>
      <c r="O26" s="18">
        <v>15434000</v>
      </c>
      <c r="P26" s="18">
        <v>2128000</v>
      </c>
      <c r="Q26" s="18">
        <v>69000</v>
      </c>
      <c r="R26" s="18">
        <v>16000</v>
      </c>
      <c r="S26" s="18">
        <v>1885000</v>
      </c>
      <c r="T26" s="18">
        <v>1200000</v>
      </c>
      <c r="U26" s="18">
        <v>1095000</v>
      </c>
      <c r="V26">
        <f>T26/SUM(T26:U26)</f>
        <v>0.52287581699346408</v>
      </c>
    </row>
    <row r="27" spans="1:23" x14ac:dyDescent="0.25">
      <c r="A27" t="s">
        <v>329</v>
      </c>
      <c r="B27" s="18">
        <v>901000</v>
      </c>
      <c r="C27" s="18">
        <v>4226000</v>
      </c>
      <c r="D27" s="18">
        <v>123000</v>
      </c>
      <c r="E27" s="18">
        <v>106000</v>
      </c>
      <c r="F27" s="18">
        <v>43000</v>
      </c>
      <c r="G27" s="18">
        <f>H27-F27</f>
        <v>56000</v>
      </c>
      <c r="H27" s="18">
        <v>99000</v>
      </c>
      <c r="I27" s="18">
        <f t="shared" si="10"/>
        <v>24000</v>
      </c>
      <c r="J27" s="26">
        <f>F27/D27</f>
        <v>0.34959349593495936</v>
      </c>
      <c r="K27" s="26">
        <f>G27/D27</f>
        <v>0.45528455284552843</v>
      </c>
      <c r="L27" s="26">
        <f>(D27-H27)/D27</f>
        <v>0.1951219512195122</v>
      </c>
      <c r="M27" s="18">
        <v>635000</v>
      </c>
      <c r="N27" s="18">
        <v>11268000</v>
      </c>
      <c r="O27" s="18">
        <v>15946000</v>
      </c>
      <c r="P27" s="18">
        <v>2077000</v>
      </c>
      <c r="Q27" s="18">
        <v>47000</v>
      </c>
      <c r="R27" s="18">
        <v>24000</v>
      </c>
      <c r="S27" s="18">
        <v>1699000</v>
      </c>
      <c r="T27" s="18">
        <v>821000</v>
      </c>
      <c r="U27" s="18">
        <v>1022000</v>
      </c>
      <c r="V27">
        <f>T27/SUM(T27:U27)</f>
        <v>0.44546934346174716</v>
      </c>
    </row>
    <row r="28" spans="1:23" x14ac:dyDescent="0.25">
      <c r="A28" t="s">
        <v>330</v>
      </c>
      <c r="B28" s="18">
        <v>836000</v>
      </c>
      <c r="C28" s="18">
        <v>4314000</v>
      </c>
      <c r="D28" s="18">
        <v>102000</v>
      </c>
      <c r="E28" s="18">
        <v>83000</v>
      </c>
      <c r="F28" s="18">
        <v>38000</v>
      </c>
      <c r="G28" s="18">
        <f>H28-F28</f>
        <v>35000</v>
      </c>
      <c r="H28" s="18">
        <v>73000</v>
      </c>
      <c r="I28" s="18">
        <f t="shared" si="10"/>
        <v>29000</v>
      </c>
      <c r="J28" s="26">
        <f>F28/D28</f>
        <v>0.37254901960784315</v>
      </c>
      <c r="K28" s="26">
        <f>G28/D28</f>
        <v>0.34313725490196079</v>
      </c>
      <c r="L28" s="26">
        <f>(D28-H28)/D28</f>
        <v>0.28431372549019607</v>
      </c>
      <c r="M28" s="18">
        <v>587000</v>
      </c>
      <c r="N28" s="18">
        <v>10527000</v>
      </c>
      <c r="O28" s="18">
        <v>16003000</v>
      </c>
      <c r="P28" s="18">
        <v>1975000</v>
      </c>
      <c r="Q28" s="18">
        <v>48000</v>
      </c>
      <c r="R28" s="18">
        <v>16000</v>
      </c>
      <c r="S28" s="18">
        <v>1688000</v>
      </c>
      <c r="T28" s="18">
        <v>713000</v>
      </c>
      <c r="U28" s="18">
        <v>1003000</v>
      </c>
      <c r="V28">
        <f>T28/SUM(T28:U28)</f>
        <v>0.4155011655011655</v>
      </c>
    </row>
    <row r="29" spans="1:23" x14ac:dyDescent="0.25">
      <c r="A29" t="s">
        <v>331</v>
      </c>
      <c r="B29" s="18">
        <v>764000</v>
      </c>
      <c r="C29" s="18">
        <v>4599000</v>
      </c>
      <c r="D29" s="18">
        <v>82000</v>
      </c>
      <c r="E29" s="18">
        <v>69000</v>
      </c>
      <c r="F29" s="18">
        <v>30000</v>
      </c>
      <c r="G29" s="18">
        <f>H29-F29</f>
        <v>17000</v>
      </c>
      <c r="H29" s="18">
        <v>47000</v>
      </c>
      <c r="I29" s="18">
        <f t="shared" si="10"/>
        <v>35000</v>
      </c>
      <c r="J29" s="26">
        <f>F29/D29</f>
        <v>0.36585365853658536</v>
      </c>
      <c r="K29" s="26">
        <f>G29/D29</f>
        <v>0.2073170731707317</v>
      </c>
      <c r="L29" s="26">
        <f>(D29-H29)/D29</f>
        <v>0.42682926829268292</v>
      </c>
      <c r="M29" s="18">
        <v>481000</v>
      </c>
      <c r="N29" s="18">
        <v>9837000</v>
      </c>
      <c r="O29" s="18">
        <v>16052000</v>
      </c>
      <c r="P29" s="18">
        <v>1762000</v>
      </c>
      <c r="Q29" s="18" t="s">
        <v>319</v>
      </c>
      <c r="R29" s="18" t="s">
        <v>319</v>
      </c>
      <c r="S29" s="18">
        <v>1531000</v>
      </c>
      <c r="T29" s="18">
        <v>638000</v>
      </c>
      <c r="U29" s="18">
        <v>856000</v>
      </c>
      <c r="V29">
        <f>T29/SUM(T29:U29)</f>
        <v>0.42704149933065594</v>
      </c>
    </row>
    <row r="30" spans="1:23" x14ac:dyDescent="0.25">
      <c r="A30" s="449" t="s">
        <v>332</v>
      </c>
      <c r="B30" s="434"/>
      <c r="C30" s="434"/>
      <c r="D30" s="434"/>
      <c r="E30" s="434"/>
      <c r="F30" s="434"/>
      <c r="G30" s="434"/>
      <c r="H30" s="434"/>
      <c r="I30" s="434"/>
      <c r="T30">
        <f>412000+2435</f>
        <v>414435</v>
      </c>
      <c r="U30">
        <f>336842+90025+6103+15962+53939</f>
        <v>502871</v>
      </c>
      <c r="V30">
        <f>T30/SUM(T30:U30)</f>
        <v>0.45179580205514847</v>
      </c>
    </row>
    <row r="31" spans="1:23" x14ac:dyDescent="0.25">
      <c r="A31" t="s">
        <v>333</v>
      </c>
      <c r="B31" s="18" t="s">
        <v>334</v>
      </c>
      <c r="C31" s="18" t="s">
        <v>334</v>
      </c>
      <c r="D31" s="18" t="s">
        <v>335</v>
      </c>
      <c r="E31" s="18" t="s">
        <v>336</v>
      </c>
      <c r="F31" s="18" t="s">
        <v>337</v>
      </c>
      <c r="G31" s="18"/>
      <c r="H31" s="18" t="s">
        <v>336</v>
      </c>
      <c r="I31" s="18"/>
      <c r="J31" s="18"/>
      <c r="K31" s="18"/>
      <c r="L31" s="18"/>
      <c r="M31" s="18" t="s">
        <v>338</v>
      </c>
      <c r="N31" s="18" t="s">
        <v>339</v>
      </c>
      <c r="O31" s="18" t="s">
        <v>339</v>
      </c>
      <c r="P31" s="18" t="s">
        <v>340</v>
      </c>
      <c r="Q31" s="18" t="s">
        <v>341</v>
      </c>
      <c r="R31" t="s">
        <v>341</v>
      </c>
      <c r="S31" s="18" t="s">
        <v>342</v>
      </c>
      <c r="T31" t="s">
        <v>343</v>
      </c>
      <c r="U31" t="s">
        <v>343</v>
      </c>
      <c r="V31">
        <f>AVERAGE(V26:V29)</f>
        <v>0.45272195632175816</v>
      </c>
      <c r="W31">
        <f>AVERAGE(W17:W23)</f>
        <v>0.15028227576875952</v>
      </c>
    </row>
    <row r="32" spans="1:23" x14ac:dyDescent="0.25">
      <c r="A32" s="434"/>
      <c r="B32" s="434"/>
      <c r="C32" s="434"/>
      <c r="D32" s="434"/>
      <c r="E32" s="434"/>
      <c r="F32" s="434"/>
      <c r="G32" s="434"/>
      <c r="H32" s="434"/>
      <c r="I32" s="434"/>
    </row>
    <row r="33" spans="1:21" ht="14.65" customHeight="1" x14ac:dyDescent="0.25"/>
    <row r="34" spans="1:21" x14ac:dyDescent="0.25">
      <c r="A34" s="602" t="s">
        <v>344</v>
      </c>
      <c r="B34" s="602"/>
      <c r="C34" s="602"/>
      <c r="D34" s="602"/>
      <c r="E34" s="602"/>
      <c r="F34" s="602"/>
      <c r="G34" s="602"/>
      <c r="H34" s="602"/>
      <c r="I34" s="602"/>
      <c r="J34" s="602"/>
      <c r="K34" s="602"/>
      <c r="L34" s="602"/>
      <c r="M34" s="602"/>
      <c r="N34" s="602"/>
      <c r="O34" s="602"/>
      <c r="P34" s="602"/>
      <c r="Q34" s="602"/>
      <c r="R34" s="602"/>
      <c r="S34" s="602"/>
    </row>
    <row r="35" spans="1:21" x14ac:dyDescent="0.25">
      <c r="A35" s="602"/>
      <c r="B35" s="602"/>
      <c r="C35" s="602"/>
      <c r="D35" s="602"/>
      <c r="E35" s="602"/>
      <c r="F35" s="602"/>
      <c r="G35" s="602"/>
      <c r="H35" s="602"/>
      <c r="I35" s="602"/>
      <c r="J35" s="602"/>
      <c r="K35" s="602"/>
      <c r="L35" s="602"/>
      <c r="M35" s="602"/>
      <c r="N35" s="602"/>
      <c r="O35" s="602"/>
      <c r="P35" s="602"/>
      <c r="Q35" s="602"/>
      <c r="R35" s="602"/>
      <c r="S35" s="602"/>
    </row>
    <row r="36" spans="1:21" x14ac:dyDescent="0.25">
      <c r="A36" t="s">
        <v>345</v>
      </c>
      <c r="B36" t="s">
        <v>346</v>
      </c>
      <c r="C36" t="s">
        <v>97</v>
      </c>
      <c r="D36" t="s">
        <v>98</v>
      </c>
      <c r="E36" t="s">
        <v>99</v>
      </c>
      <c r="F36" t="s">
        <v>100</v>
      </c>
      <c r="G36" t="s">
        <v>101</v>
      </c>
      <c r="H36" t="s">
        <v>102</v>
      </c>
      <c r="I36" t="s">
        <v>103</v>
      </c>
      <c r="J36" t="s">
        <v>104</v>
      </c>
      <c r="K36" t="s">
        <v>105</v>
      </c>
      <c r="L36" t="s">
        <v>106</v>
      </c>
      <c r="M36" t="s">
        <v>107</v>
      </c>
      <c r="N36" t="s">
        <v>108</v>
      </c>
      <c r="O36" t="s">
        <v>109</v>
      </c>
      <c r="P36" t="s">
        <v>110</v>
      </c>
      <c r="Q36" t="s">
        <v>111</v>
      </c>
      <c r="R36" t="s">
        <v>112</v>
      </c>
      <c r="S36" t="s">
        <v>113</v>
      </c>
      <c r="T36" t="s">
        <v>114</v>
      </c>
      <c r="U36" t="s">
        <v>115</v>
      </c>
    </row>
    <row r="37" spans="1:21" ht="30" x14ac:dyDescent="0.25">
      <c r="A37" t="s">
        <v>347</v>
      </c>
      <c r="B37" s="49" t="s">
        <v>337</v>
      </c>
      <c r="D37" s="18">
        <v>29000</v>
      </c>
      <c r="E37" s="18"/>
      <c r="F37" s="18">
        <v>30000</v>
      </c>
      <c r="G37" s="18"/>
      <c r="H37" s="18">
        <v>33000</v>
      </c>
      <c r="I37" s="18"/>
      <c r="J37" s="18">
        <v>45000</v>
      </c>
      <c r="K37" s="18"/>
      <c r="L37" s="18">
        <v>70000</v>
      </c>
      <c r="M37" s="18"/>
      <c r="N37" s="18">
        <v>78000</v>
      </c>
      <c r="O37" s="18"/>
      <c r="P37" s="18"/>
      <c r="Q37" s="18">
        <v>57000</v>
      </c>
      <c r="R37" s="18">
        <v>43000</v>
      </c>
      <c r="S37" s="18">
        <v>38000</v>
      </c>
      <c r="T37" s="18">
        <v>30000</v>
      </c>
      <c r="U37" s="18"/>
    </row>
    <row r="38" spans="1:21" ht="120" x14ac:dyDescent="0.25">
      <c r="A38" t="s">
        <v>348</v>
      </c>
      <c r="B38" s="102" t="s">
        <v>349</v>
      </c>
      <c r="D38" s="18">
        <f>D40-D37</f>
        <v>40000</v>
      </c>
      <c r="E38" s="18"/>
      <c r="F38" s="18">
        <f>F40-F37</f>
        <v>42000</v>
      </c>
      <c r="G38" s="18"/>
      <c r="H38" s="18">
        <f>H40-H37</f>
        <v>41000</v>
      </c>
      <c r="I38" s="18"/>
      <c r="J38" s="18">
        <f>J40-J37</f>
        <v>65000</v>
      </c>
      <c r="K38" s="18"/>
      <c r="L38" s="18">
        <f>L40-L37</f>
        <v>58000</v>
      </c>
      <c r="M38" s="18"/>
      <c r="N38" s="18">
        <f>N40-N37</f>
        <v>60000</v>
      </c>
      <c r="O38" s="18"/>
      <c r="P38" s="18"/>
      <c r="Q38" s="18">
        <f>Q40-Q37</f>
        <v>55000</v>
      </c>
      <c r="R38" s="18">
        <f>R40-R37</f>
        <v>56000</v>
      </c>
      <c r="S38" s="18">
        <f>S40-S37</f>
        <v>35000</v>
      </c>
      <c r="T38" s="18">
        <f>T40-T37</f>
        <v>17000</v>
      </c>
      <c r="U38" s="18"/>
    </row>
    <row r="39" spans="1:21" ht="45" x14ac:dyDescent="0.25">
      <c r="A39" t="s">
        <v>350</v>
      </c>
      <c r="B39" s="49" t="s">
        <v>336</v>
      </c>
      <c r="D39" s="18">
        <f>D41-D40</f>
        <v>35000</v>
      </c>
      <c r="E39" s="18"/>
      <c r="F39" s="18">
        <f>F41-F40</f>
        <v>42000</v>
      </c>
      <c r="G39" s="18"/>
      <c r="H39" s="18">
        <f>H41-H40</f>
        <v>24000</v>
      </c>
      <c r="I39" s="18"/>
      <c r="J39" s="18">
        <f>J41-J40</f>
        <v>40000</v>
      </c>
      <c r="K39" s="18"/>
      <c r="L39" s="18">
        <f>L41-L40</f>
        <v>34000</v>
      </c>
      <c r="M39" s="18"/>
      <c r="N39" s="18">
        <f>N41-N40</f>
        <v>25000</v>
      </c>
      <c r="O39" s="18"/>
      <c r="P39" s="18"/>
      <c r="Q39" s="18">
        <f>Q41-Q40</f>
        <v>37000</v>
      </c>
      <c r="R39" s="18">
        <f>R41-R40</f>
        <v>24000</v>
      </c>
      <c r="S39" s="18">
        <f>S41-S40</f>
        <v>29000</v>
      </c>
      <c r="T39" s="18">
        <f>T41-T40</f>
        <v>35000</v>
      </c>
      <c r="U39" s="18"/>
    </row>
    <row r="40" spans="1:21" ht="45" x14ac:dyDescent="0.25">
      <c r="A40" t="s">
        <v>351</v>
      </c>
      <c r="B40" s="102" t="s">
        <v>336</v>
      </c>
      <c r="D40" s="18">
        <v>69000</v>
      </c>
      <c r="E40" s="18"/>
      <c r="F40" s="18">
        <v>72000</v>
      </c>
      <c r="G40" s="18"/>
      <c r="H40" s="18">
        <v>74000</v>
      </c>
      <c r="I40" s="18"/>
      <c r="J40" s="18">
        <v>110000</v>
      </c>
      <c r="K40" s="18"/>
      <c r="L40" s="18">
        <v>128000</v>
      </c>
      <c r="M40" s="18"/>
      <c r="N40" s="18">
        <v>138000</v>
      </c>
      <c r="O40" s="18"/>
      <c r="P40" s="18"/>
      <c r="Q40" s="18">
        <v>112000</v>
      </c>
      <c r="R40" s="18">
        <v>99000</v>
      </c>
      <c r="S40" s="18">
        <v>73000</v>
      </c>
      <c r="T40" s="18">
        <v>47000</v>
      </c>
      <c r="U40" s="18"/>
    </row>
    <row r="41" spans="1:21" ht="30" x14ac:dyDescent="0.25">
      <c r="A41" s="48" t="s">
        <v>352</v>
      </c>
      <c r="B41" s="102" t="s">
        <v>353</v>
      </c>
      <c r="D41" s="18">
        <v>104000</v>
      </c>
      <c r="E41" s="18"/>
      <c r="F41" s="18">
        <v>114000</v>
      </c>
      <c r="G41" s="18"/>
      <c r="H41" s="18">
        <v>98000</v>
      </c>
      <c r="I41" s="18"/>
      <c r="J41" s="18">
        <v>150000</v>
      </c>
      <c r="K41" s="18"/>
      <c r="L41" s="18">
        <v>162000</v>
      </c>
      <c r="M41" s="18"/>
      <c r="N41" s="18">
        <v>163000</v>
      </c>
      <c r="O41" s="18"/>
      <c r="P41" s="18">
        <v>171000</v>
      </c>
      <c r="Q41" s="18">
        <v>149000</v>
      </c>
      <c r="R41" s="18">
        <v>123000</v>
      </c>
      <c r="S41" s="18">
        <v>102000</v>
      </c>
      <c r="T41" s="18">
        <v>82000</v>
      </c>
      <c r="U41" s="18">
        <f>AVERAGE(134866,82464)</f>
        <v>108665</v>
      </c>
    </row>
    <row r="42" spans="1:21" ht="30" x14ac:dyDescent="0.25">
      <c r="A42" s="25" t="s">
        <v>21</v>
      </c>
      <c r="B42" s="103" t="s">
        <v>354</v>
      </c>
      <c r="C42" s="18">
        <v>117000</v>
      </c>
      <c r="D42" s="18">
        <v>92000</v>
      </c>
      <c r="E42" s="18">
        <v>118000</v>
      </c>
      <c r="F42" s="18">
        <v>108000</v>
      </c>
      <c r="G42" s="18">
        <v>90000</v>
      </c>
      <c r="H42" s="18">
        <v>106000</v>
      </c>
      <c r="I42" s="18">
        <v>116000</v>
      </c>
      <c r="J42" s="18">
        <v>187000</v>
      </c>
      <c r="K42" s="18">
        <v>142000</v>
      </c>
      <c r="L42" s="18">
        <v>178000</v>
      </c>
      <c r="M42" s="18">
        <v>156000</v>
      </c>
      <c r="N42" s="18">
        <v>169000</v>
      </c>
      <c r="O42" s="18">
        <v>212000</v>
      </c>
      <c r="P42" s="18">
        <v>135000</v>
      </c>
      <c r="Q42" s="18">
        <v>170000</v>
      </c>
      <c r="R42" s="18">
        <v>81000</v>
      </c>
      <c r="S42" s="18">
        <v>117000</v>
      </c>
      <c r="T42" s="18">
        <v>50000</v>
      </c>
      <c r="U42" s="18">
        <v>103000</v>
      </c>
    </row>
    <row r="43" spans="1:21" x14ac:dyDescent="0.25">
      <c r="A43" t="s">
        <v>355</v>
      </c>
      <c r="C43" s="18">
        <f>AVERAGE(C42:D42)</f>
        <v>104500</v>
      </c>
      <c r="E43" s="18">
        <f>AVERAGE(E42:F42)</f>
        <v>113000</v>
      </c>
      <c r="G43" s="18">
        <f>AVERAGE(G42:H42)</f>
        <v>98000</v>
      </c>
      <c r="I43" s="18">
        <f>AVERAGE(I42:J42)</f>
        <v>151500</v>
      </c>
      <c r="K43" s="18">
        <f>AVERAGE(K42:L42)</f>
        <v>160000</v>
      </c>
      <c r="M43" s="18">
        <f>AVERAGE(M42:N42)</f>
        <v>162500</v>
      </c>
      <c r="O43" s="18">
        <f t="shared" ref="O43:T43" si="11">AVERAGE(O42:P42)</f>
        <v>173500</v>
      </c>
      <c r="P43" s="18">
        <f t="shared" si="11"/>
        <v>152500</v>
      </c>
      <c r="Q43" s="18">
        <f t="shared" si="11"/>
        <v>125500</v>
      </c>
      <c r="R43" s="18">
        <f t="shared" si="11"/>
        <v>99000</v>
      </c>
      <c r="S43" s="18">
        <f t="shared" si="11"/>
        <v>83500</v>
      </c>
      <c r="T43" s="18">
        <f t="shared" si="11"/>
        <v>76500</v>
      </c>
    </row>
    <row r="45" spans="1:21" x14ac:dyDescent="0.25">
      <c r="A45" s="25" t="s">
        <v>22</v>
      </c>
      <c r="C45">
        <f>D37/$D$41*$C$42</f>
        <v>32625</v>
      </c>
      <c r="D45" s="20">
        <f>D37/$D$41*$D$42</f>
        <v>25653.846153846156</v>
      </c>
      <c r="E45" s="20">
        <f>F37/$F$41*$E$42</f>
        <v>31052.631578947367</v>
      </c>
      <c r="F45" s="20">
        <f>F37/$F$41*$F$42</f>
        <v>28421.052631578947</v>
      </c>
      <c r="G45" s="20">
        <f>H37/$H$41*$G$42</f>
        <v>30306.12244897959</v>
      </c>
      <c r="H45" s="20">
        <f>H37/$H$41*$H$42</f>
        <v>35693.877551020407</v>
      </c>
      <c r="I45" s="20">
        <f>J37/$J$41*$I$42</f>
        <v>34800</v>
      </c>
      <c r="J45">
        <f>J37/$J$41*$J$42</f>
        <v>56100</v>
      </c>
      <c r="K45" s="20">
        <f>L37/$L$41*$K$42</f>
        <v>61358.024691358019</v>
      </c>
      <c r="L45" s="20">
        <f>L37/$L$41*$L$42</f>
        <v>76913.580246913582</v>
      </c>
      <c r="M45" s="20">
        <f>N37/$N$41*$M$42</f>
        <v>74650.306748466261</v>
      </c>
      <c r="N45" s="20">
        <f>N37/$N$41*$N$42</f>
        <v>80871.165644171779</v>
      </c>
      <c r="O45" s="20">
        <f>P45/$P$48*$O$42</f>
        <v>81100.671140939594</v>
      </c>
      <c r="P45" s="20">
        <f>Q37/$Q$41*$P$42</f>
        <v>51644.295302013423</v>
      </c>
      <c r="Q45" s="20">
        <f>Q37/$Q$41*$Q$42</f>
        <v>65033.557046979869</v>
      </c>
      <c r="R45" s="20">
        <f>R37/$R$41*$R$42</f>
        <v>28317.07317073171</v>
      </c>
      <c r="S45" s="20">
        <f>S37/$S$41*$S$42</f>
        <v>43588.23529411765</v>
      </c>
      <c r="T45" s="20">
        <f>T37/$T$41*$T$42</f>
        <v>18292.682926829268</v>
      </c>
      <c r="U45" s="20">
        <f>U37/$U$41*$U$42</f>
        <v>0</v>
      </c>
    </row>
    <row r="46" spans="1:21" x14ac:dyDescent="0.25">
      <c r="A46" s="25" t="s">
        <v>288</v>
      </c>
      <c r="C46">
        <f>D38/$D$41*$C$42</f>
        <v>45000</v>
      </c>
      <c r="D46" s="20">
        <f>D38/$D$41*$D$42</f>
        <v>35384.61538461539</v>
      </c>
      <c r="E46" s="20">
        <f>F38/$F$41*$E$42</f>
        <v>43473.684210526313</v>
      </c>
      <c r="F46" s="20">
        <f>F38/$F$41*$F$42</f>
        <v>39789.473684210527</v>
      </c>
      <c r="G46" s="20">
        <f>H38/$H$41*$G$42</f>
        <v>37653.0612244898</v>
      </c>
      <c r="H46" s="20">
        <f>H38/$H$41*$H$42</f>
        <v>44346.938775510207</v>
      </c>
      <c r="I46" s="20">
        <f>J38/$J$41*$I$42</f>
        <v>50266.666666666672</v>
      </c>
      <c r="J46" s="20">
        <f>J38/$J$41*$J$42</f>
        <v>81033.333333333343</v>
      </c>
      <c r="K46" s="20">
        <f>L38/$L$41*$K$42</f>
        <v>50839.506172839501</v>
      </c>
      <c r="L46" s="20">
        <f>L38/$L$41*$L$42</f>
        <v>63728.395061728392</v>
      </c>
      <c r="M46" s="20">
        <f>N38/$N$41*$M$42</f>
        <v>57423.312883435581</v>
      </c>
      <c r="N46" s="20">
        <f>N38/$N$41*$N$42</f>
        <v>62208.58895705521</v>
      </c>
      <c r="O46" s="20">
        <f>P46/$P$48*$O$42</f>
        <v>78255.033557046991</v>
      </c>
      <c r="P46" s="20">
        <f>Q38/$Q$41*$P$42</f>
        <v>49832.214765100674</v>
      </c>
      <c r="Q46" s="20">
        <f>Q38/$Q$41*$Q$42</f>
        <v>62751.677852348999</v>
      </c>
      <c r="R46" s="20">
        <f>R38/$R$41*$R$42</f>
        <v>36878.048780487807</v>
      </c>
      <c r="S46" s="20">
        <f>S38/$S$41*$S$42</f>
        <v>40147.058823529413</v>
      </c>
      <c r="T46" s="20">
        <f>T38/$T$41*$T$42</f>
        <v>10365.853658536585</v>
      </c>
      <c r="U46" s="20">
        <f t="shared" ref="U46:U47" si="12">U38/$U$41*$U$42</f>
        <v>0</v>
      </c>
    </row>
    <row r="47" spans="1:21" x14ac:dyDescent="0.25">
      <c r="A47" s="25" t="s">
        <v>289</v>
      </c>
      <c r="C47">
        <f>D39/$D$41*$C$42</f>
        <v>39375</v>
      </c>
      <c r="D47" s="20">
        <f>D39/$D$41*$D$42</f>
        <v>30961.538461538465</v>
      </c>
      <c r="E47" s="20">
        <f>F39/$F$41*$E$42</f>
        <v>43473.684210526313</v>
      </c>
      <c r="F47" s="20">
        <f>F39/$F$41*$F$42</f>
        <v>39789.473684210527</v>
      </c>
      <c r="G47" s="20">
        <f>H39/$H$41*$G$42</f>
        <v>22040.81632653061</v>
      </c>
      <c r="H47" s="20">
        <f>H39/$H$41*$H$42</f>
        <v>25959.183673469386</v>
      </c>
      <c r="I47" s="20">
        <f>J39/$J$41*$I$42</f>
        <v>30933.333333333332</v>
      </c>
      <c r="J47" s="20">
        <f>J39/$J$41*$J$42</f>
        <v>49866.666666666664</v>
      </c>
      <c r="K47" s="20">
        <f>L39/$L$41*$K$42</f>
        <v>29802.469135802468</v>
      </c>
      <c r="L47" s="20">
        <f>L39/$L$41*$L$42</f>
        <v>37358.024691358019</v>
      </c>
      <c r="M47" s="20">
        <f>N39/$N$41*$M$42</f>
        <v>23926.380368098158</v>
      </c>
      <c r="N47" s="20">
        <f>N39/$N$41*$N$42</f>
        <v>25920.245398773008</v>
      </c>
      <c r="O47" s="20">
        <f>P47/$P$48*$O$42</f>
        <v>52644.295302013415</v>
      </c>
      <c r="P47" s="20">
        <f>Q39/$Q$41*$P$42</f>
        <v>33523.489932885903</v>
      </c>
      <c r="Q47" s="20">
        <f>Q39/$Q$41*$Q$42</f>
        <v>42214.765100671138</v>
      </c>
      <c r="R47" s="20">
        <f>R39/$R$41*$R$42</f>
        <v>15804.878048780489</v>
      </c>
      <c r="S47" s="20">
        <f>S39/$S$41*$S$42</f>
        <v>33264.705882352937</v>
      </c>
      <c r="T47" s="20">
        <f>T39/$T$41*$T$42</f>
        <v>21341.463414634145</v>
      </c>
      <c r="U47" s="20">
        <f t="shared" si="12"/>
        <v>0</v>
      </c>
    </row>
    <row r="48" spans="1:21" x14ac:dyDescent="0.25">
      <c r="A48" t="s">
        <v>356</v>
      </c>
      <c r="C48">
        <f>SUM(C45:C47)</f>
        <v>117000</v>
      </c>
      <c r="D48">
        <f t="shared" ref="D48:S48" si="13">SUM(D45:D47)</f>
        <v>92000.000000000015</v>
      </c>
      <c r="E48">
        <f t="shared" si="13"/>
        <v>118000</v>
      </c>
      <c r="F48">
        <f t="shared" si="13"/>
        <v>108000</v>
      </c>
      <c r="G48">
        <f t="shared" si="13"/>
        <v>90000</v>
      </c>
      <c r="H48">
        <f t="shared" si="13"/>
        <v>106000</v>
      </c>
      <c r="I48">
        <f t="shared" si="13"/>
        <v>116000</v>
      </c>
      <c r="J48">
        <f t="shared" si="13"/>
        <v>187000</v>
      </c>
      <c r="K48">
        <f t="shared" si="13"/>
        <v>142000</v>
      </c>
      <c r="L48">
        <f t="shared" si="13"/>
        <v>178000</v>
      </c>
      <c r="M48">
        <f t="shared" si="13"/>
        <v>156000</v>
      </c>
      <c r="N48">
        <f t="shared" si="13"/>
        <v>169000</v>
      </c>
      <c r="O48">
        <f t="shared" si="13"/>
        <v>212000</v>
      </c>
      <c r="P48">
        <f t="shared" si="13"/>
        <v>135000</v>
      </c>
      <c r="Q48">
        <f t="shared" si="13"/>
        <v>170000</v>
      </c>
      <c r="R48">
        <f t="shared" si="13"/>
        <v>81000</v>
      </c>
      <c r="S48">
        <f t="shared" si="13"/>
        <v>117000</v>
      </c>
      <c r="T48">
        <f>SUM(T45:T47)</f>
        <v>50000</v>
      </c>
      <c r="U48">
        <f>SUM(U45:U47)</f>
        <v>0</v>
      </c>
    </row>
    <row r="49" spans="1:11" x14ac:dyDescent="0.25">
      <c r="B49" t="s">
        <v>357</v>
      </c>
    </row>
    <row r="50" spans="1:11" x14ac:dyDescent="0.25">
      <c r="A50" s="601" t="s">
        <v>358</v>
      </c>
      <c r="B50" s="601"/>
      <c r="C50" s="601"/>
      <c r="D50" s="601"/>
      <c r="E50" s="601"/>
      <c r="F50" s="601"/>
      <c r="G50" s="601"/>
      <c r="H50" s="601"/>
      <c r="I50" s="601"/>
      <c r="J50" s="601"/>
      <c r="K50" s="601"/>
    </row>
    <row r="51" spans="1:11" x14ac:dyDescent="0.25">
      <c r="A51" s="601"/>
      <c r="B51" s="601"/>
      <c r="C51" s="601"/>
      <c r="D51" s="601"/>
      <c r="E51" s="601"/>
      <c r="F51" s="601"/>
      <c r="G51" s="601"/>
      <c r="H51" s="601"/>
      <c r="I51" s="601"/>
      <c r="J51" s="601"/>
      <c r="K51" s="601"/>
    </row>
    <row r="52" spans="1:11" ht="13.15" customHeight="1" x14ac:dyDescent="0.25">
      <c r="A52" s="601"/>
      <c r="B52" s="601"/>
      <c r="C52" s="601"/>
      <c r="D52" s="601"/>
      <c r="E52" s="601"/>
      <c r="F52" s="601"/>
      <c r="G52" s="601"/>
      <c r="H52" s="601"/>
      <c r="I52" s="601"/>
      <c r="J52" s="601"/>
      <c r="K52" s="601"/>
    </row>
    <row r="53" spans="1:11" x14ac:dyDescent="0.25">
      <c r="A53" s="601"/>
      <c r="B53" s="601"/>
      <c r="C53" s="601"/>
      <c r="D53" s="601"/>
      <c r="E53" s="601"/>
      <c r="F53" s="601"/>
      <c r="G53" s="601"/>
      <c r="H53" s="601"/>
      <c r="I53" s="601"/>
      <c r="J53" s="601"/>
      <c r="K53" s="601"/>
    </row>
    <row r="54" spans="1:11" x14ac:dyDescent="0.25">
      <c r="A54" s="601"/>
      <c r="B54" s="601"/>
      <c r="C54" s="601"/>
      <c r="D54" s="601"/>
      <c r="E54" s="601"/>
      <c r="F54" s="601"/>
      <c r="G54" s="601"/>
      <c r="H54" s="601"/>
      <c r="I54" s="601"/>
      <c r="J54" s="601"/>
      <c r="K54" s="601"/>
    </row>
    <row r="56" spans="1:11" x14ac:dyDescent="0.25">
      <c r="A56" s="1" t="s">
        <v>359</v>
      </c>
    </row>
    <row r="57" spans="1:11" x14ac:dyDescent="0.25">
      <c r="B57">
        <v>1993</v>
      </c>
      <c r="C57">
        <v>1994</v>
      </c>
      <c r="D57">
        <v>1995</v>
      </c>
      <c r="E57">
        <v>1996</v>
      </c>
      <c r="F57">
        <v>1997</v>
      </c>
      <c r="G57">
        <v>1998</v>
      </c>
      <c r="H57">
        <v>1999</v>
      </c>
      <c r="I57" s="1">
        <v>2000</v>
      </c>
      <c r="J57" s="1">
        <v>2001</v>
      </c>
      <c r="K57" s="1">
        <v>2002</v>
      </c>
    </row>
    <row r="58" spans="1:11" x14ac:dyDescent="0.25">
      <c r="A58" t="s">
        <v>360</v>
      </c>
      <c r="G58" s="18">
        <v>1548000</v>
      </c>
      <c r="H58">
        <v>1810000</v>
      </c>
      <c r="I58" s="1">
        <v>2268000</v>
      </c>
      <c r="J58" s="1">
        <v>2400000</v>
      </c>
      <c r="K58" s="1"/>
    </row>
    <row r="59" spans="1:11" x14ac:dyDescent="0.25">
      <c r="A59" t="s">
        <v>361</v>
      </c>
      <c r="E59">
        <v>149000</v>
      </c>
      <c r="F59">
        <v>81000</v>
      </c>
      <c r="G59">
        <v>140000</v>
      </c>
      <c r="H59">
        <v>104000</v>
      </c>
      <c r="I59" s="1">
        <v>114000</v>
      </c>
      <c r="J59" s="1">
        <v>154000</v>
      </c>
      <c r="K59" s="1">
        <v>117000</v>
      </c>
    </row>
    <row r="60" spans="1:11" x14ac:dyDescent="0.25">
      <c r="A60" t="s">
        <v>362</v>
      </c>
      <c r="B60">
        <v>713000</v>
      </c>
      <c r="C60">
        <v>1020000</v>
      </c>
      <c r="D60">
        <v>973000</v>
      </c>
      <c r="E60">
        <v>1114000</v>
      </c>
      <c r="F60">
        <v>1434000</v>
      </c>
      <c r="G60">
        <v>1738000</v>
      </c>
      <c r="H60">
        <v>2010000</v>
      </c>
      <c r="I60" s="1">
        <v>2656000</v>
      </c>
      <c r="J60" s="1">
        <v>2389000</v>
      </c>
      <c r="K60" s="1">
        <v>2456000</v>
      </c>
    </row>
  </sheetData>
  <mergeCells count="4">
    <mergeCell ref="A50:K54"/>
    <mergeCell ref="A34:S35"/>
    <mergeCell ref="A9:I9"/>
    <mergeCell ref="A11:H11"/>
  </mergeCells>
  <phoneticPr fontId="39" type="noConversion"/>
  <pageMargins left="0.7" right="0.7" top="0.75" bottom="0.75" header="0.3" footer="0.3"/>
  <pageSetup orientation="portrait" r:id="rId1"/>
  <ignoredErrors>
    <ignoredError sqref="B1:U1" numberStoredAsText="1"/>
    <ignoredError sqref="V26:V29 C43 E43 G43 I43 K43 M43 O43" formulaRange="1"/>
  </ignoredError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415"/>
  <sheetViews>
    <sheetView zoomScale="70" zoomScaleNormal="70" workbookViewId="0">
      <pane xSplit="1" ySplit="1" topLeftCell="B2" activePane="bottomRight" state="frozen"/>
      <selection pane="topRight" activeCell="B1" sqref="B1"/>
      <selection pane="bottomLeft" activeCell="A2" sqref="A2"/>
      <selection pane="bottomRight"/>
    </sheetView>
  </sheetViews>
  <sheetFormatPr defaultColWidth="8.7109375" defaultRowHeight="15" x14ac:dyDescent="0.25"/>
  <cols>
    <col min="1" max="1" width="39.7109375" customWidth="1"/>
    <col min="2" max="2" width="13.7109375" customWidth="1"/>
    <col min="3" max="3" width="24" customWidth="1"/>
    <col min="4" max="4" width="14.85546875" bestFit="1" customWidth="1"/>
    <col min="5" max="5" width="16.28515625" customWidth="1"/>
    <col min="6" max="6" width="14.85546875" bestFit="1" customWidth="1"/>
    <col min="7" max="8" width="14.42578125" bestFit="1" customWidth="1"/>
    <col min="9" max="9" width="16.28515625" customWidth="1"/>
    <col min="10" max="11" width="14.42578125" bestFit="1" customWidth="1"/>
    <col min="12" max="12" width="16.140625" customWidth="1"/>
    <col min="13" max="13" width="17" customWidth="1"/>
    <col min="14" max="25" width="14.42578125" bestFit="1" customWidth="1"/>
    <col min="26" max="26" width="14.42578125" customWidth="1"/>
    <col min="27" max="30" width="14.42578125" bestFit="1" customWidth="1"/>
    <col min="31" max="39" width="18" customWidth="1"/>
    <col min="40" max="40" width="19.42578125" customWidth="1"/>
    <col min="41" max="46" width="18" customWidth="1"/>
    <col min="47" max="54" width="12.85546875" customWidth="1"/>
    <col min="55" max="55" width="16.42578125" customWidth="1"/>
    <col min="56" max="56" width="12.7109375" bestFit="1" customWidth="1"/>
    <col min="57" max="57" width="16.42578125" customWidth="1"/>
  </cols>
  <sheetData>
    <row r="1" spans="1:57" ht="15.75" thickBot="1" x14ac:dyDescent="0.3">
      <c r="A1" s="56" t="s">
        <v>45</v>
      </c>
      <c r="B1" s="134">
        <v>1999</v>
      </c>
      <c r="C1" s="134">
        <v>2000</v>
      </c>
      <c r="D1" s="134">
        <v>2001</v>
      </c>
      <c r="E1" s="134">
        <v>2002</v>
      </c>
      <c r="F1" s="134">
        <v>2003</v>
      </c>
      <c r="G1" s="134">
        <v>2004</v>
      </c>
      <c r="H1" s="134">
        <v>2005</v>
      </c>
      <c r="I1" s="134">
        <v>2006</v>
      </c>
      <c r="J1" s="134">
        <v>2007</v>
      </c>
      <c r="K1" s="134">
        <v>2008</v>
      </c>
      <c r="L1" s="134">
        <v>2009</v>
      </c>
      <c r="M1" s="134">
        <v>2010</v>
      </c>
      <c r="N1" s="134">
        <v>2011</v>
      </c>
      <c r="O1" s="134">
        <v>2012</v>
      </c>
      <c r="P1" s="134">
        <v>2013</v>
      </c>
      <c r="Q1" s="134">
        <v>2014</v>
      </c>
      <c r="R1" s="134">
        <v>2015</v>
      </c>
      <c r="S1" s="134">
        <v>2016</v>
      </c>
      <c r="T1" s="134">
        <v>2017</v>
      </c>
      <c r="U1" s="134">
        <v>2018</v>
      </c>
      <c r="V1" s="134">
        <v>2019</v>
      </c>
      <c r="W1" s="134">
        <v>2020</v>
      </c>
      <c r="X1" s="134">
        <v>2021</v>
      </c>
      <c r="Y1" s="134">
        <v>2022</v>
      </c>
      <c r="Z1" s="134">
        <v>2023</v>
      </c>
      <c r="AA1" s="134">
        <v>2024</v>
      </c>
      <c r="AB1" s="134">
        <v>2025</v>
      </c>
      <c r="AC1" s="134">
        <v>2026</v>
      </c>
      <c r="AD1" s="134">
        <v>2027</v>
      </c>
      <c r="AE1" s="134">
        <v>2028</v>
      </c>
      <c r="AF1" s="134">
        <v>2029</v>
      </c>
      <c r="AG1" s="135">
        <v>2030</v>
      </c>
      <c r="AH1" s="135">
        <v>2031</v>
      </c>
      <c r="AI1" s="135">
        <v>2032</v>
      </c>
      <c r="AL1" t="s">
        <v>363</v>
      </c>
    </row>
    <row r="2" spans="1:57" ht="34.15" customHeight="1" x14ac:dyDescent="0.25">
      <c r="A2" s="74" t="s">
        <v>9</v>
      </c>
      <c r="B2" s="299">
        <v>770417.1</v>
      </c>
      <c r="C2" s="298">
        <v>757479.11</v>
      </c>
      <c r="D2" s="132">
        <v>1109094.96</v>
      </c>
      <c r="E2" s="132">
        <f>AA21</f>
        <v>1665919</v>
      </c>
      <c r="F2" s="132">
        <f t="shared" ref="F2:U2" si="0">AB21</f>
        <v>1578238</v>
      </c>
      <c r="G2" s="132">
        <f t="shared" si="0"/>
        <v>1806262</v>
      </c>
      <c r="H2" s="132">
        <f t="shared" si="0"/>
        <v>1754593</v>
      </c>
      <c r="I2" s="132">
        <f t="shared" si="0"/>
        <v>1768853</v>
      </c>
      <c r="J2" s="132">
        <f t="shared" si="0"/>
        <v>1967314</v>
      </c>
      <c r="K2" s="132">
        <f t="shared" si="0"/>
        <v>1912898</v>
      </c>
      <c r="L2" s="132">
        <f t="shared" si="0"/>
        <v>2039042</v>
      </c>
      <c r="M2" s="132">
        <f t="shared" si="0"/>
        <v>2140500</v>
      </c>
      <c r="N2" s="132">
        <f t="shared" si="0"/>
        <v>1898575</v>
      </c>
      <c r="O2" s="132">
        <f t="shared" si="0"/>
        <v>2301337</v>
      </c>
      <c r="P2" s="132">
        <f t="shared" si="0"/>
        <v>1935811</v>
      </c>
      <c r="Q2" s="132">
        <f t="shared" si="0"/>
        <v>2015605</v>
      </c>
      <c r="R2" s="132">
        <f t="shared" si="0"/>
        <v>2181670</v>
      </c>
      <c r="S2" s="132">
        <f t="shared" si="0"/>
        <v>2178982</v>
      </c>
      <c r="T2" s="132">
        <f t="shared" si="0"/>
        <v>1804716</v>
      </c>
      <c r="U2" s="132">
        <f t="shared" si="0"/>
        <v>1782701</v>
      </c>
      <c r="V2" s="132">
        <f t="shared" ref="V2:W6" si="1">AR21</f>
        <v>1581223</v>
      </c>
      <c r="W2" s="132">
        <f t="shared" si="1"/>
        <v>2026209.659</v>
      </c>
      <c r="X2" s="132"/>
      <c r="Y2" s="132"/>
      <c r="Z2" s="132"/>
      <c r="AA2" s="132"/>
      <c r="AB2" s="132"/>
      <c r="AC2" s="132"/>
      <c r="AD2" s="132"/>
      <c r="AE2" s="132"/>
      <c r="AF2" s="132"/>
      <c r="AG2" s="133"/>
      <c r="AJ2" s="208"/>
      <c r="AK2" s="208"/>
      <c r="AL2" s="604" t="s">
        <v>364</v>
      </c>
      <c r="AM2" s="604"/>
      <c r="AN2" s="604"/>
    </row>
    <row r="3" spans="1:57" ht="34.15" customHeight="1" x14ac:dyDescent="0.25">
      <c r="A3" s="74" t="s">
        <v>365</v>
      </c>
      <c r="B3" s="299">
        <v>11928.3</v>
      </c>
      <c r="C3" s="323">
        <v>7048.27</v>
      </c>
      <c r="D3" s="132">
        <v>24035.85</v>
      </c>
      <c r="E3" s="132">
        <f>AA22</f>
        <v>34954</v>
      </c>
      <c r="F3" s="132">
        <f t="shared" ref="F3:U3" si="2">AB22</f>
        <v>17866</v>
      </c>
      <c r="G3" s="132">
        <f t="shared" si="2"/>
        <v>37915</v>
      </c>
      <c r="H3" s="132">
        <f t="shared" si="2"/>
        <v>22963</v>
      </c>
      <c r="I3" s="132">
        <f t="shared" si="2"/>
        <v>27983</v>
      </c>
      <c r="J3" s="132">
        <f t="shared" si="2"/>
        <v>48397</v>
      </c>
      <c r="K3" s="132">
        <f t="shared" si="2"/>
        <v>50393</v>
      </c>
      <c r="L3" s="132">
        <f t="shared" si="2"/>
        <v>72146</v>
      </c>
      <c r="M3" s="132">
        <f t="shared" si="2"/>
        <v>105068</v>
      </c>
      <c r="N3" s="132">
        <f t="shared" si="2"/>
        <v>47420</v>
      </c>
      <c r="O3" s="132">
        <f t="shared" si="2"/>
        <v>52733</v>
      </c>
      <c r="P3" s="132">
        <f t="shared" si="2"/>
        <v>50314</v>
      </c>
      <c r="Q3" s="132">
        <f t="shared" si="2"/>
        <v>109871</v>
      </c>
      <c r="R3" s="132">
        <f t="shared" si="2"/>
        <v>85042</v>
      </c>
      <c r="S3" s="132">
        <f t="shared" si="2"/>
        <v>53202</v>
      </c>
      <c r="T3" s="132">
        <f t="shared" si="2"/>
        <v>36606</v>
      </c>
      <c r="U3" s="132">
        <f t="shared" si="2"/>
        <v>38649</v>
      </c>
      <c r="V3" s="132">
        <f t="shared" si="1"/>
        <v>23310</v>
      </c>
      <c r="W3" s="132">
        <f t="shared" si="1"/>
        <v>23299.906780000001</v>
      </c>
      <c r="X3" s="132"/>
      <c r="Y3" s="132"/>
      <c r="Z3" s="132"/>
      <c r="AA3" s="132"/>
      <c r="AB3" s="132"/>
      <c r="AC3" s="132"/>
      <c r="AD3" s="132"/>
      <c r="AE3" s="132"/>
      <c r="AF3" s="132"/>
      <c r="AG3" s="133"/>
      <c r="AI3" s="208"/>
      <c r="AJ3" s="208"/>
      <c r="AK3" s="208"/>
      <c r="AL3" s="604"/>
      <c r="AM3" s="604"/>
      <c r="AN3" s="604"/>
      <c r="AX3" t="s">
        <v>366</v>
      </c>
      <c r="BD3" t="s">
        <v>367</v>
      </c>
    </row>
    <row r="4" spans="1:57" ht="34.15" customHeight="1" x14ac:dyDescent="0.25">
      <c r="A4" s="74" t="s">
        <v>10</v>
      </c>
      <c r="B4" s="299">
        <f>K15</f>
        <v>236997.8</v>
      </c>
      <c r="C4" s="299">
        <v>215666.78</v>
      </c>
      <c r="D4" s="132">
        <v>235351.58</v>
      </c>
      <c r="E4" s="132">
        <f>AA23</f>
        <v>245784</v>
      </c>
      <c r="F4" s="132">
        <f t="shared" ref="F4:U4" si="3">AB23</f>
        <v>216329</v>
      </c>
      <c r="G4" s="132">
        <f t="shared" si="3"/>
        <v>283690</v>
      </c>
      <c r="H4" s="132">
        <f t="shared" si="3"/>
        <v>234246</v>
      </c>
      <c r="I4" s="132">
        <f t="shared" si="3"/>
        <v>319932</v>
      </c>
      <c r="J4" s="132">
        <f t="shared" si="3"/>
        <v>248268</v>
      </c>
      <c r="K4" s="132">
        <f t="shared" si="3"/>
        <v>329347</v>
      </c>
      <c r="L4" s="132">
        <f t="shared" si="3"/>
        <v>423242</v>
      </c>
      <c r="M4" s="132">
        <f t="shared" si="3"/>
        <v>429287</v>
      </c>
      <c r="N4" s="132">
        <f t="shared" si="3"/>
        <v>511316</v>
      </c>
      <c r="O4" s="132">
        <f t="shared" si="3"/>
        <v>503336</v>
      </c>
      <c r="P4" s="132">
        <f t="shared" si="3"/>
        <v>535880</v>
      </c>
      <c r="Q4" s="132">
        <f t="shared" si="3"/>
        <v>622431</v>
      </c>
      <c r="R4" s="132">
        <f t="shared" si="3"/>
        <v>618367</v>
      </c>
      <c r="S4" s="132">
        <f t="shared" si="3"/>
        <v>646546</v>
      </c>
      <c r="T4" s="132">
        <f t="shared" si="3"/>
        <v>705123</v>
      </c>
      <c r="U4" s="132">
        <f t="shared" si="3"/>
        <v>592629</v>
      </c>
      <c r="V4" s="132">
        <f t="shared" si="1"/>
        <v>456633</v>
      </c>
      <c r="W4" s="132">
        <f t="shared" si="1"/>
        <v>569233.59069999994</v>
      </c>
      <c r="X4" s="132"/>
      <c r="Y4" s="132"/>
      <c r="Z4" s="132"/>
      <c r="AA4" s="132"/>
      <c r="AB4" s="132"/>
      <c r="AC4" s="132"/>
      <c r="AD4" s="132"/>
      <c r="AE4" s="132"/>
      <c r="AF4" s="132"/>
      <c r="AG4" s="133"/>
      <c r="AI4" s="208"/>
      <c r="AJ4" s="208"/>
      <c r="AK4" s="208"/>
      <c r="AL4" s="604"/>
      <c r="AM4" s="604"/>
      <c r="AN4" s="604"/>
      <c r="AW4" t="s">
        <v>131</v>
      </c>
      <c r="AX4" t="s">
        <v>368</v>
      </c>
      <c r="AY4" t="s">
        <v>369</v>
      </c>
      <c r="AZ4" t="s">
        <v>370</v>
      </c>
      <c r="BA4" t="s">
        <v>371</v>
      </c>
      <c r="BC4" t="s">
        <v>131</v>
      </c>
      <c r="BD4" t="s">
        <v>372</v>
      </c>
      <c r="BE4" t="s">
        <v>373</v>
      </c>
    </row>
    <row r="5" spans="1:57" ht="34.15" customHeight="1" x14ac:dyDescent="0.25">
      <c r="A5" s="74" t="s">
        <v>374</v>
      </c>
      <c r="B5" s="299">
        <v>5590140.5</v>
      </c>
      <c r="C5" s="299">
        <v>5586577.2699999996</v>
      </c>
      <c r="D5" s="132">
        <v>6933347.4800000004</v>
      </c>
      <c r="E5" s="132">
        <f>AA24</f>
        <v>9225312</v>
      </c>
      <c r="F5" s="132">
        <f t="shared" ref="F5:U5" si="4">AB24</f>
        <v>10003110</v>
      </c>
      <c r="G5" s="132">
        <f t="shared" si="4"/>
        <v>9389311</v>
      </c>
      <c r="H5" s="132">
        <f t="shared" si="4"/>
        <v>9709431</v>
      </c>
      <c r="I5" s="132">
        <f t="shared" si="4"/>
        <v>10191551</v>
      </c>
      <c r="J5" s="132">
        <f t="shared" si="4"/>
        <v>10292408</v>
      </c>
      <c r="K5" s="132">
        <f t="shared" si="4"/>
        <v>9795118</v>
      </c>
      <c r="L5" s="132">
        <f t="shared" si="4"/>
        <v>9965813</v>
      </c>
      <c r="M5" s="132">
        <f t="shared" si="4"/>
        <v>9823494</v>
      </c>
      <c r="N5" s="132">
        <f t="shared" si="4"/>
        <v>8794760</v>
      </c>
      <c r="O5" s="132">
        <f t="shared" si="4"/>
        <v>9898266</v>
      </c>
      <c r="P5" s="132">
        <f t="shared" si="4"/>
        <v>8543367</v>
      </c>
      <c r="Q5" s="132">
        <f t="shared" si="4"/>
        <v>7654608</v>
      </c>
      <c r="R5" s="132">
        <f t="shared" si="4"/>
        <v>9631764</v>
      </c>
      <c r="S5" s="132">
        <f t="shared" si="4"/>
        <v>8783829</v>
      </c>
      <c r="T5" s="132">
        <f t="shared" si="4"/>
        <v>8379498</v>
      </c>
      <c r="U5" s="132">
        <f t="shared" si="4"/>
        <v>7663420</v>
      </c>
      <c r="V5" s="132">
        <f t="shared" si="1"/>
        <v>7798728</v>
      </c>
      <c r="W5" s="132">
        <f t="shared" si="1"/>
        <v>6483795.7390000001</v>
      </c>
      <c r="X5" s="132"/>
      <c r="Y5" s="132"/>
      <c r="Z5" s="132"/>
      <c r="AA5" s="132"/>
      <c r="AB5" s="132"/>
      <c r="AC5" s="132"/>
      <c r="AD5" s="132"/>
      <c r="AE5" s="132"/>
      <c r="AF5" s="132"/>
      <c r="AG5" s="133"/>
      <c r="AI5" s="208"/>
      <c r="AJ5" s="208"/>
      <c r="AK5" s="208"/>
      <c r="AL5" s="604"/>
      <c r="AM5" s="604"/>
      <c r="AN5" s="604"/>
      <c r="AW5">
        <v>2002</v>
      </c>
      <c r="AX5">
        <f>J28</f>
        <v>0.45270644142824595</v>
      </c>
      <c r="AY5">
        <f>K28</f>
        <v>0.18823845327604727</v>
      </c>
      <c r="AZ5">
        <f>L28</f>
        <v>0.35905510529570678</v>
      </c>
      <c r="BA5">
        <f>AZ5+AY5</f>
        <v>0.54729355857175399</v>
      </c>
      <c r="BC5">
        <v>2002</v>
      </c>
      <c r="BD5">
        <f>J30</f>
        <v>0.45218369078579757</v>
      </c>
      <c r="BE5">
        <f>K30</f>
        <v>0.54781630921420243</v>
      </c>
    </row>
    <row r="6" spans="1:57" ht="34.15" customHeight="1" x14ac:dyDescent="0.25">
      <c r="A6" s="74" t="s">
        <v>375</v>
      </c>
      <c r="B6" s="299">
        <v>114707.8</v>
      </c>
      <c r="C6" s="323">
        <v>119177.21</v>
      </c>
      <c r="D6" s="132">
        <v>204810.57</v>
      </c>
      <c r="E6" s="132">
        <f>AA25</f>
        <v>144961</v>
      </c>
      <c r="F6" s="132">
        <f t="shared" ref="F6:U6" si="5">AB25</f>
        <v>112467</v>
      </c>
      <c r="G6" s="132">
        <f t="shared" si="5"/>
        <v>127737</v>
      </c>
      <c r="H6" s="132">
        <f t="shared" si="5"/>
        <v>143973</v>
      </c>
      <c r="I6" s="132">
        <f t="shared" si="5"/>
        <v>198182</v>
      </c>
      <c r="J6" s="132">
        <f t="shared" si="5"/>
        <v>103162</v>
      </c>
      <c r="K6" s="132">
        <f t="shared" si="5"/>
        <v>140496</v>
      </c>
      <c r="L6" s="132">
        <f t="shared" si="5"/>
        <v>214966</v>
      </c>
      <c r="M6" s="132">
        <f t="shared" si="5"/>
        <v>146161</v>
      </c>
      <c r="N6" s="132">
        <f t="shared" si="5"/>
        <v>134826</v>
      </c>
      <c r="O6" s="132">
        <f t="shared" si="5"/>
        <v>133314</v>
      </c>
      <c r="P6" s="132">
        <f t="shared" si="5"/>
        <v>158816</v>
      </c>
      <c r="Q6" s="132">
        <f t="shared" si="5"/>
        <v>280398</v>
      </c>
      <c r="R6" s="132">
        <f t="shared" si="5"/>
        <v>183638</v>
      </c>
      <c r="S6" s="132">
        <f t="shared" si="5"/>
        <v>276375</v>
      </c>
      <c r="T6" s="132">
        <f t="shared" si="5"/>
        <v>258837</v>
      </c>
      <c r="U6" s="132">
        <f t="shared" si="5"/>
        <v>259887</v>
      </c>
      <c r="V6" s="132">
        <f t="shared" si="1"/>
        <v>267714</v>
      </c>
      <c r="W6" s="132">
        <f t="shared" si="1"/>
        <v>379094.53269999998</v>
      </c>
      <c r="X6" s="132"/>
      <c r="Y6" s="132"/>
      <c r="Z6" s="132"/>
      <c r="AA6" s="132"/>
      <c r="AB6" s="132"/>
      <c r="AC6" s="132"/>
      <c r="AD6" s="132"/>
      <c r="AE6" s="132"/>
      <c r="AF6" s="132"/>
      <c r="AG6" s="133"/>
      <c r="AM6" s="208"/>
      <c r="AW6">
        <v>2003</v>
      </c>
      <c r="AX6">
        <f>J49</f>
        <v>0.50528130763790335</v>
      </c>
      <c r="AY6">
        <f>K49</f>
        <v>0.18675720777149618</v>
      </c>
      <c r="AZ6">
        <f>L49</f>
        <v>0.30796148459060041</v>
      </c>
      <c r="BA6">
        <f t="shared" ref="BA6:BA23" si="6">AZ6+AY6</f>
        <v>0.49471869236209659</v>
      </c>
      <c r="BC6">
        <v>2003</v>
      </c>
      <c r="BD6">
        <f>J51</f>
        <v>0.62677941084940469</v>
      </c>
      <c r="BE6">
        <f>K51</f>
        <v>0.37322058915059531</v>
      </c>
    </row>
    <row r="7" spans="1:57" ht="34.15" customHeight="1" thickBot="1" x14ac:dyDescent="0.3">
      <c r="A7" s="75" t="s">
        <v>11</v>
      </c>
      <c r="B7" s="233">
        <f t="shared" ref="B7:AG7" si="7">X71</f>
        <v>221122575</v>
      </c>
      <c r="C7" s="233">
        <f>Y71</f>
        <v>223279598</v>
      </c>
      <c r="D7" s="233">
        <f t="shared" si="7"/>
        <v>225635789</v>
      </c>
      <c r="E7" s="233">
        <f t="shared" si="7"/>
        <v>235143245</v>
      </c>
      <c r="F7" s="233">
        <f t="shared" si="7"/>
        <v>237682009</v>
      </c>
      <c r="G7" s="233">
        <f t="shared" si="7"/>
        <v>240514815</v>
      </c>
      <c r="H7" s="233">
        <f t="shared" si="7"/>
        <v>243220283</v>
      </c>
      <c r="I7" s="233">
        <f t="shared" si="7"/>
        <v>246021656</v>
      </c>
      <c r="J7" s="233">
        <f t="shared" si="7"/>
        <v>247845207</v>
      </c>
      <c r="K7" s="233">
        <f t="shared" si="7"/>
        <v>249815089</v>
      </c>
      <c r="L7" s="233">
        <f t="shared" si="7"/>
        <v>251815533</v>
      </c>
      <c r="M7" s="233">
        <f t="shared" si="7"/>
        <v>253619107</v>
      </c>
      <c r="N7" s="233">
        <f t="shared" si="7"/>
        <v>257598944</v>
      </c>
      <c r="O7" s="233">
        <f t="shared" si="7"/>
        <v>260057325</v>
      </c>
      <c r="P7" s="233">
        <f t="shared" si="7"/>
        <v>262391455</v>
      </c>
      <c r="Q7" s="233">
        <f t="shared" si="7"/>
        <v>265122864</v>
      </c>
      <c r="R7" s="233">
        <f t="shared" si="7"/>
        <v>267694489</v>
      </c>
      <c r="S7" s="233">
        <f t="shared" si="7"/>
        <v>269430135</v>
      </c>
      <c r="T7" s="233">
        <f t="shared" si="7"/>
        <v>272103335</v>
      </c>
      <c r="U7" s="233">
        <f t="shared" si="7"/>
        <v>273753043</v>
      </c>
      <c r="V7" s="233">
        <f t="shared" si="7"/>
        <v>275221248</v>
      </c>
      <c r="W7" s="233">
        <f t="shared" si="7"/>
        <v>277196227.0557394</v>
      </c>
      <c r="X7" s="233">
        <f t="shared" si="7"/>
        <v>279162371.20517123</v>
      </c>
      <c r="Y7" s="233">
        <f t="shared" si="7"/>
        <v>281115313.82793599</v>
      </c>
      <c r="Z7" s="233">
        <f t="shared" si="7"/>
        <v>283051164.9652859</v>
      </c>
      <c r="AA7" s="233">
        <f t="shared" si="7"/>
        <v>284966144.65730661</v>
      </c>
      <c r="AB7" s="233">
        <f t="shared" si="7"/>
        <v>286858624.58793288</v>
      </c>
      <c r="AC7" s="233">
        <f t="shared" si="7"/>
        <v>288731104.73065287</v>
      </c>
      <c r="AD7" s="233">
        <f t="shared" si="7"/>
        <v>290576085.16500187</v>
      </c>
      <c r="AE7" s="233">
        <f t="shared" si="7"/>
        <v>292390232.59299541</v>
      </c>
      <c r="AF7" s="233">
        <f t="shared" si="7"/>
        <v>294170213.71664917</v>
      </c>
      <c r="AG7" s="233">
        <f t="shared" si="7"/>
        <v>295914136.88935697</v>
      </c>
      <c r="AH7" s="233">
        <f t="shared" ref="AH7" si="8">BD71</f>
        <v>297619617.96973556</v>
      </c>
      <c r="AI7" s="233">
        <f t="shared" ref="AI7" si="9">BE71</f>
        <v>299285750.30073315</v>
      </c>
      <c r="AM7" s="208"/>
      <c r="AW7">
        <v>2004</v>
      </c>
      <c r="AX7">
        <f>J70</f>
        <v>0.51971165709048606</v>
      </c>
      <c r="AY7">
        <f>K70</f>
        <v>0.2939581938030949</v>
      </c>
      <c r="AZ7">
        <f>L70</f>
        <v>0.18633014910641899</v>
      </c>
      <c r="BA7">
        <f t="shared" si="6"/>
        <v>0.48028834290951389</v>
      </c>
      <c r="BC7">
        <v>2004</v>
      </c>
      <c r="BD7">
        <f>J72</f>
        <v>0.60860987810892697</v>
      </c>
      <c r="BE7">
        <f>K72</f>
        <v>0.39139012189107308</v>
      </c>
    </row>
    <row r="8" spans="1:57" x14ac:dyDescent="0.25">
      <c r="A8" s="160" t="s">
        <v>376</v>
      </c>
      <c r="B8" s="208">
        <v>0.43750800000000001</v>
      </c>
      <c r="C8" s="24">
        <v>0.37236187999999998</v>
      </c>
      <c r="D8" s="208">
        <v>0.425927</v>
      </c>
      <c r="E8" s="24">
        <f>$BE5</f>
        <v>0.54781630921420243</v>
      </c>
      <c r="F8" s="24">
        <f>$BE6</f>
        <v>0.37322058915059531</v>
      </c>
      <c r="G8" s="24">
        <f>$BE7</f>
        <v>0.39139012189107308</v>
      </c>
      <c r="H8" s="24">
        <f>$BE8</f>
        <v>0.4877997957950449</v>
      </c>
      <c r="I8" s="24">
        <f>$BE9</f>
        <v>0.57803937794552485</v>
      </c>
      <c r="J8" s="24">
        <f>$BE12</f>
        <v>0.72162230278590955</v>
      </c>
      <c r="K8" s="24">
        <f>$BE13</f>
        <v>0.42434660061496415</v>
      </c>
      <c r="L8" s="24">
        <f>$BE14</f>
        <v>0.67685122298409983</v>
      </c>
      <c r="M8" s="24">
        <f>$BE15</f>
        <v>0.47542778169279082</v>
      </c>
      <c r="N8" s="24">
        <f>$BE16</f>
        <v>0.47088840431370804</v>
      </c>
      <c r="O8" s="24">
        <f>$BE17</f>
        <v>0.48412019742862716</v>
      </c>
      <c r="P8" s="24">
        <f>$BE18</f>
        <v>0.70006800322385654</v>
      </c>
      <c r="Q8" s="24">
        <f>$BE19</f>
        <v>0.45505317441636534</v>
      </c>
      <c r="R8" s="24">
        <f>$BE20</f>
        <v>0.59043335257408602</v>
      </c>
      <c r="S8" s="24">
        <f>$BE21</f>
        <v>0.35116056083220265</v>
      </c>
      <c r="T8" s="24">
        <f>$BE22</f>
        <v>0.52275756557215547</v>
      </c>
      <c r="U8" s="24">
        <f>$BE23</f>
        <v>0.39097376936899497</v>
      </c>
      <c r="V8" s="24">
        <f>$BE24</f>
        <v>0.24577347467820138</v>
      </c>
      <c r="W8" s="24"/>
      <c r="X8" s="24"/>
      <c r="Y8" s="24"/>
      <c r="Z8" s="24"/>
      <c r="AA8" s="24"/>
      <c r="AB8" s="208"/>
      <c r="AC8" s="24"/>
      <c r="AD8" s="24"/>
      <c r="AE8" s="24"/>
      <c r="AF8" s="24"/>
      <c r="AG8" s="24"/>
      <c r="AM8" s="208"/>
      <c r="AW8">
        <v>2005</v>
      </c>
      <c r="AX8">
        <f>J91</f>
        <v>0.33114332795437273</v>
      </c>
      <c r="AY8">
        <f>K91</f>
        <v>0.25389547740409657</v>
      </c>
      <c r="AZ8">
        <f>L91</f>
        <v>0.4149611946415307</v>
      </c>
      <c r="BA8">
        <f t="shared" si="6"/>
        <v>0.66885667204562727</v>
      </c>
      <c r="BC8">
        <v>2005</v>
      </c>
      <c r="BD8">
        <f>J93</f>
        <v>0.51220020420495505</v>
      </c>
      <c r="BE8">
        <f>K93</f>
        <v>0.4877997957950449</v>
      </c>
    </row>
    <row r="9" spans="1:57" x14ac:dyDescent="0.25">
      <c r="A9" s="160" t="s">
        <v>377</v>
      </c>
      <c r="B9" s="208">
        <v>0.43670399999999998</v>
      </c>
      <c r="C9" s="24">
        <v>0.49432921499999999</v>
      </c>
      <c r="D9" s="208">
        <v>0.50452300000000005</v>
      </c>
      <c r="E9" s="24">
        <f>$BA5</f>
        <v>0.54729355857175399</v>
      </c>
      <c r="F9" s="24">
        <f>$BA6</f>
        <v>0.49471869236209659</v>
      </c>
      <c r="G9" s="24">
        <f>$BA7</f>
        <v>0.48028834290951389</v>
      </c>
      <c r="H9" s="24">
        <f>$BA8</f>
        <v>0.66885667204562727</v>
      </c>
      <c r="I9" s="24">
        <f>$BA9</f>
        <v>0.70146781191003083</v>
      </c>
      <c r="J9" s="24">
        <f>$BA12</f>
        <v>0.74580695055343416</v>
      </c>
      <c r="K9" s="24">
        <f>$BA13</f>
        <v>0.74834445129301319</v>
      </c>
      <c r="L9" s="24">
        <f>$BA14</f>
        <v>0.66145609367690361</v>
      </c>
      <c r="M9" s="24">
        <f>$BA15</f>
        <v>0.69965780468544359</v>
      </c>
      <c r="N9" s="24">
        <f>$BA16</f>
        <v>0.71452291733487705</v>
      </c>
      <c r="O9" s="24">
        <f>$BA17</f>
        <v>0.7760462196226775</v>
      </c>
      <c r="P9" s="24">
        <f>$BA18</f>
        <v>0.79410502351272672</v>
      </c>
      <c r="Q9" s="24">
        <f>$BA19</f>
        <v>0.66357395438209221</v>
      </c>
      <c r="R9" s="24">
        <f>$BA20</f>
        <v>0.73309701196862065</v>
      </c>
      <c r="S9" s="24">
        <f>$BA21</f>
        <v>0.7640260708441472</v>
      </c>
      <c r="T9" s="24">
        <f>$BA22</f>
        <v>0.63545225442936903</v>
      </c>
      <c r="U9" s="24">
        <f>$BA23</f>
        <v>0.70188431548236752</v>
      </c>
      <c r="V9" s="24">
        <f>$BA24</f>
        <v>0.63945444153182096</v>
      </c>
      <c r="W9" s="24"/>
      <c r="X9" s="24"/>
      <c r="Y9" s="24"/>
      <c r="Z9" s="24"/>
      <c r="AA9" s="24"/>
      <c r="AB9" s="24"/>
      <c r="AC9" s="24"/>
      <c r="AD9" s="24"/>
      <c r="AE9" s="24"/>
      <c r="AF9" s="24"/>
      <c r="AG9" s="24"/>
      <c r="AM9" s="208"/>
      <c r="AW9">
        <v>2006</v>
      </c>
      <c r="AX9">
        <f>J112</f>
        <v>0.29853218808996912</v>
      </c>
      <c r="AY9">
        <f>K112</f>
        <v>0.4104716002150457</v>
      </c>
      <c r="AZ9">
        <f>L112</f>
        <v>0.29099621169498519</v>
      </c>
      <c r="BA9">
        <f t="shared" si="6"/>
        <v>0.70146781191003083</v>
      </c>
      <c r="BC9">
        <v>2006</v>
      </c>
      <c r="BD9">
        <f>J114</f>
        <v>0.42196062205447515</v>
      </c>
      <c r="BE9">
        <f>K114</f>
        <v>0.57803937794552485</v>
      </c>
    </row>
    <row r="10" spans="1:57" x14ac:dyDescent="0.25">
      <c r="W10" s="24"/>
      <c r="X10" s="24"/>
      <c r="Y10" s="24"/>
      <c r="Z10" s="24"/>
      <c r="AA10" s="24"/>
      <c r="AB10" s="24"/>
      <c r="AC10" s="24"/>
      <c r="AD10" s="24"/>
      <c r="AE10" s="24"/>
      <c r="AF10" s="24"/>
      <c r="AG10" s="24"/>
      <c r="AM10" s="208"/>
    </row>
    <row r="11" spans="1:57" x14ac:dyDescent="0.25">
      <c r="W11" s="24"/>
      <c r="X11" s="24"/>
      <c r="Y11" s="24"/>
      <c r="Z11" s="24"/>
      <c r="AA11" s="24"/>
      <c r="AB11" s="24"/>
      <c r="AC11" s="24"/>
      <c r="AD11" s="24"/>
      <c r="AE11" s="24"/>
      <c r="AF11" s="24"/>
      <c r="AG11" s="24"/>
      <c r="AM11" s="208"/>
    </row>
    <row r="12" spans="1:57" ht="15.75" thickBot="1" x14ac:dyDescent="0.3">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M12" s="208"/>
      <c r="AW12">
        <v>2007</v>
      </c>
      <c r="AX12">
        <f>J133</f>
        <v>0.25419304944656579</v>
      </c>
      <c r="AY12">
        <f>K133</f>
        <v>0.31843411152464274</v>
      </c>
      <c r="AZ12">
        <f>L133</f>
        <v>0.42737283902879147</v>
      </c>
      <c r="BA12">
        <f t="shared" si="6"/>
        <v>0.74580695055343416</v>
      </c>
      <c r="BC12">
        <v>2007</v>
      </c>
      <c r="BD12">
        <f>J135</f>
        <v>0.27837769721409045</v>
      </c>
      <c r="BE12">
        <f>K135</f>
        <v>0.72162230278590955</v>
      </c>
    </row>
    <row r="13" spans="1:57" x14ac:dyDescent="0.25">
      <c r="B13" s="134">
        <v>1990</v>
      </c>
      <c r="C13" s="134">
        <v>1991</v>
      </c>
      <c r="D13" s="134">
        <v>1992</v>
      </c>
      <c r="E13" s="134">
        <v>1993</v>
      </c>
      <c r="F13" s="134">
        <v>1994</v>
      </c>
      <c r="G13" s="134">
        <v>1995</v>
      </c>
      <c r="H13" s="134">
        <v>1996</v>
      </c>
      <c r="I13" s="134">
        <v>1997</v>
      </c>
      <c r="J13" s="134">
        <v>1998</v>
      </c>
      <c r="K13" s="134">
        <v>1999</v>
      </c>
      <c r="L13" s="134">
        <v>2000</v>
      </c>
      <c r="M13" s="134">
        <v>2001</v>
      </c>
      <c r="N13" s="134">
        <v>2002</v>
      </c>
      <c r="O13" s="134"/>
      <c r="P13" s="134"/>
      <c r="Q13" s="233"/>
      <c r="R13" s="233"/>
      <c r="S13" s="233"/>
      <c r="T13" s="24"/>
      <c r="U13" s="24"/>
      <c r="V13" s="24"/>
      <c r="W13" s="24"/>
      <c r="X13" s="24"/>
      <c r="Y13" s="24"/>
      <c r="Z13" s="24"/>
      <c r="AA13" s="24"/>
      <c r="AB13" s="24"/>
      <c r="AC13" s="24"/>
      <c r="AD13" s="24"/>
      <c r="AM13" s="208"/>
      <c r="AW13">
        <v>2008</v>
      </c>
      <c r="AX13">
        <f>J154</f>
        <v>0.25165554870698686</v>
      </c>
      <c r="AY13">
        <f>K154</f>
        <v>0.43953945231017744</v>
      </c>
      <c r="AZ13">
        <f>L154</f>
        <v>0.30880499898283575</v>
      </c>
      <c r="BA13">
        <f t="shared" si="6"/>
        <v>0.74834445129301319</v>
      </c>
      <c r="BC13">
        <v>2008</v>
      </c>
      <c r="BD13">
        <f>J156</f>
        <v>0.5756533993850359</v>
      </c>
      <c r="BE13">
        <f>K156</f>
        <v>0.42434660061496415</v>
      </c>
    </row>
    <row r="14" spans="1:57" x14ac:dyDescent="0.25">
      <c r="A14" t="s">
        <v>378</v>
      </c>
      <c r="B14" s="132"/>
      <c r="C14" s="132"/>
      <c r="D14" s="132"/>
      <c r="E14" s="132"/>
      <c r="F14" s="132"/>
      <c r="G14" s="132">
        <v>211532023</v>
      </c>
      <c r="H14" s="132">
        <v>214047483</v>
      </c>
      <c r="I14" s="132">
        <v>216206090</v>
      </c>
      <c r="J14" s="132">
        <v>218444761</v>
      </c>
      <c r="K14" s="132">
        <v>221122575</v>
      </c>
      <c r="L14" s="132">
        <v>223279598</v>
      </c>
      <c r="M14" s="132">
        <v>225635789</v>
      </c>
      <c r="N14" s="132"/>
      <c r="O14" s="24"/>
      <c r="P14" s="24"/>
      <c r="Q14" s="24"/>
      <c r="R14" s="24"/>
      <c r="S14" s="24"/>
      <c r="T14" s="24"/>
      <c r="U14" s="24"/>
      <c r="V14" s="24"/>
      <c r="W14" s="24"/>
      <c r="X14" s="24"/>
      <c r="Y14" s="24"/>
      <c r="Z14" s="24"/>
      <c r="AA14" s="24"/>
      <c r="AB14" s="24"/>
      <c r="AC14" s="24"/>
      <c r="AD14" s="24"/>
      <c r="AM14" s="208"/>
      <c r="AW14">
        <v>2009</v>
      </c>
      <c r="AX14">
        <f>J175</f>
        <v>0.3385439063230965</v>
      </c>
      <c r="AY14">
        <f>K175</f>
        <v>0.29867546226508712</v>
      </c>
      <c r="AZ14">
        <f>L175</f>
        <v>0.36278063141181643</v>
      </c>
      <c r="BA14">
        <f t="shared" si="6"/>
        <v>0.66145609367690361</v>
      </c>
      <c r="BC14">
        <v>2009</v>
      </c>
      <c r="BD14">
        <f>J177</f>
        <v>0.32314877701590017</v>
      </c>
      <c r="BE14">
        <f>K177</f>
        <v>0.67685122298409983</v>
      </c>
    </row>
    <row r="15" spans="1:57" x14ac:dyDescent="0.25">
      <c r="A15" t="s">
        <v>379</v>
      </c>
      <c r="B15" s="132"/>
      <c r="C15" s="132"/>
      <c r="D15" s="132"/>
      <c r="E15" s="132"/>
      <c r="F15" s="132"/>
      <c r="G15" s="132">
        <v>242565.9</v>
      </c>
      <c r="H15" s="132">
        <v>292344.2</v>
      </c>
      <c r="I15" s="132">
        <v>329014.5</v>
      </c>
      <c r="J15" s="132">
        <v>420848.8</v>
      </c>
      <c r="K15" s="132">
        <v>236997.8</v>
      </c>
      <c r="L15" s="132">
        <v>215666.8</v>
      </c>
      <c r="M15" s="132">
        <v>235351.6</v>
      </c>
      <c r="N15" s="132">
        <f>$E$4</f>
        <v>245784</v>
      </c>
      <c r="O15" s="24" t="s">
        <v>380</v>
      </c>
      <c r="P15" s="24"/>
      <c r="Q15" s="24"/>
      <c r="R15" s="24"/>
      <c r="S15" s="24"/>
      <c r="T15" s="24"/>
      <c r="U15" s="24"/>
      <c r="V15" s="24"/>
      <c r="W15" s="24"/>
      <c r="X15" s="24"/>
      <c r="Y15" s="24"/>
      <c r="Z15" s="24"/>
      <c r="AA15" s="24"/>
      <c r="AB15" s="24"/>
      <c r="AC15" s="24"/>
      <c r="AD15" s="24"/>
      <c r="AW15">
        <v>2010</v>
      </c>
      <c r="AX15">
        <f>J196</f>
        <v>0.30034219531455647</v>
      </c>
      <c r="AY15">
        <f>K196</f>
        <v>0.17720080039693725</v>
      </c>
      <c r="AZ15">
        <f>L196</f>
        <v>0.52245700428850628</v>
      </c>
      <c r="BA15">
        <f t="shared" si="6"/>
        <v>0.69965780468544359</v>
      </c>
      <c r="BC15">
        <v>2010</v>
      </c>
      <c r="BD15">
        <f>J198</f>
        <v>0.52457221830720913</v>
      </c>
      <c r="BE15">
        <f>K198</f>
        <v>0.47542778169279082</v>
      </c>
    </row>
    <row r="16" spans="1:57" x14ac:dyDescent="0.25">
      <c r="A16" t="s">
        <v>381</v>
      </c>
      <c r="B16" s="132"/>
      <c r="C16" s="132"/>
      <c r="D16" s="132"/>
      <c r="E16" s="132"/>
      <c r="F16" s="132">
        <v>3939600</v>
      </c>
      <c r="G16" s="132">
        <v>4102426</v>
      </c>
      <c r="H16" s="132">
        <v>4510485</v>
      </c>
      <c r="I16" s="132">
        <v>4210000</v>
      </c>
      <c r="J16" s="132">
        <v>4070000</v>
      </c>
      <c r="K16" s="132">
        <v>6582000</v>
      </c>
      <c r="L16" s="132">
        <v>6466000</v>
      </c>
      <c r="M16" s="132">
        <v>8353000</v>
      </c>
      <c r="N16" s="132">
        <v>10992000</v>
      </c>
      <c r="O16" s="24" t="s">
        <v>382</v>
      </c>
      <c r="P16" s="24"/>
      <c r="Q16" s="24"/>
      <c r="R16" s="24"/>
      <c r="S16" s="24"/>
      <c r="T16" s="24"/>
      <c r="U16" s="24"/>
      <c r="V16" s="24"/>
      <c r="W16" s="24"/>
      <c r="X16" s="24"/>
      <c r="Y16" s="24"/>
      <c r="Z16" s="24"/>
      <c r="AA16" s="24"/>
      <c r="AB16" s="24"/>
      <c r="AC16" s="24"/>
      <c r="AD16" s="24"/>
      <c r="AW16">
        <v>2011</v>
      </c>
      <c r="AX16">
        <f>J217</f>
        <v>0.28547708266512295</v>
      </c>
      <c r="AY16">
        <f>K217</f>
        <v>0.21036893036791338</v>
      </c>
      <c r="AZ16">
        <f>L217</f>
        <v>0.50415398696696367</v>
      </c>
      <c r="BA16">
        <f t="shared" si="6"/>
        <v>0.71452291733487705</v>
      </c>
      <c r="BC16">
        <v>2011</v>
      </c>
      <c r="BD16">
        <f>J219</f>
        <v>0.52911159568629196</v>
      </c>
      <c r="BE16">
        <f>K219</f>
        <v>0.47088840431370804</v>
      </c>
    </row>
    <row r="17" spans="1:57" x14ac:dyDescent="0.25">
      <c r="A17" t="s">
        <v>383</v>
      </c>
      <c r="B17" s="132"/>
      <c r="C17" s="132"/>
      <c r="D17" s="132"/>
      <c r="E17" s="132"/>
      <c r="F17" s="132"/>
      <c r="G17" s="132">
        <f>0.002*G14</f>
        <v>423064.04600000003</v>
      </c>
      <c r="H17" s="132">
        <f>0.002*H14</f>
        <v>428094.96600000001</v>
      </c>
      <c r="I17" s="132">
        <v>597000</v>
      </c>
      <c r="J17" s="132">
        <f>0.001*J14</f>
        <v>218444.761</v>
      </c>
      <c r="K17" s="132">
        <v>353351</v>
      </c>
      <c r="L17" s="132">
        <v>308000</v>
      </c>
      <c r="M17" s="318">
        <v>455525</v>
      </c>
      <c r="N17" s="132">
        <f>SUM(E6,E4,E3)</f>
        <v>425699</v>
      </c>
      <c r="O17" s="24"/>
      <c r="P17" s="24"/>
      <c r="Q17" s="24"/>
      <c r="R17" s="24"/>
      <c r="S17" s="24"/>
      <c r="T17" s="24"/>
      <c r="U17" s="24"/>
      <c r="V17" s="24"/>
      <c r="W17" s="24"/>
      <c r="X17" s="24"/>
      <c r="Y17" s="24"/>
      <c r="Z17" s="24"/>
      <c r="AA17" s="24"/>
      <c r="AB17" s="24"/>
      <c r="AC17" s="24"/>
      <c r="AD17" s="24"/>
      <c r="AW17">
        <v>2012</v>
      </c>
      <c r="AX17">
        <f>J238</f>
        <v>0.2239537803773225</v>
      </c>
      <c r="AY17">
        <f>K238</f>
        <v>0.20082608833860482</v>
      </c>
      <c r="AZ17">
        <f>L238</f>
        <v>0.57522013128407268</v>
      </c>
      <c r="BA17">
        <f t="shared" si="6"/>
        <v>0.7760462196226775</v>
      </c>
      <c r="BC17">
        <v>2012</v>
      </c>
      <c r="BD17">
        <f>J240</f>
        <v>0.51587980257137289</v>
      </c>
      <c r="BE17">
        <f>K240</f>
        <v>0.48412019742862716</v>
      </c>
    </row>
    <row r="18" spans="1:57" x14ac:dyDescent="0.25">
      <c r="A18" t="s">
        <v>384</v>
      </c>
      <c r="B18" s="132"/>
      <c r="C18" s="132"/>
      <c r="D18" s="132"/>
      <c r="E18" s="132"/>
      <c r="F18" s="132"/>
      <c r="G18" s="132"/>
      <c r="H18" s="132"/>
      <c r="I18" s="132"/>
      <c r="J18" s="132"/>
      <c r="K18" s="132">
        <v>862523.8</v>
      </c>
      <c r="L18" s="132"/>
      <c r="M18" s="132"/>
      <c r="N18" s="132"/>
      <c r="O18" s="24"/>
      <c r="P18" s="24"/>
      <c r="Q18" s="24"/>
      <c r="R18" s="24"/>
      <c r="S18" s="24"/>
      <c r="T18" s="24"/>
      <c r="U18" s="24"/>
      <c r="AW18">
        <v>2013</v>
      </c>
      <c r="AX18">
        <f>J259</f>
        <v>0.20589497648727326</v>
      </c>
      <c r="AY18">
        <f>K259</f>
        <v>0.21616593267149362</v>
      </c>
      <c r="AZ18">
        <f>L259</f>
        <v>0.57793909084123307</v>
      </c>
      <c r="BA18">
        <f t="shared" si="6"/>
        <v>0.79410502351272672</v>
      </c>
      <c r="BC18">
        <v>2013</v>
      </c>
      <c r="BD18">
        <f>J261</f>
        <v>0.29993199677614346</v>
      </c>
      <c r="BE18">
        <f>K261</f>
        <v>0.70006800322385654</v>
      </c>
    </row>
    <row r="19" spans="1:57" x14ac:dyDescent="0.25">
      <c r="O19" s="24"/>
      <c r="P19" s="24"/>
      <c r="Q19" s="24"/>
      <c r="R19" s="24"/>
      <c r="S19" s="24"/>
      <c r="T19" s="24"/>
      <c r="U19" s="24"/>
      <c r="AW19">
        <v>2014</v>
      </c>
      <c r="AX19">
        <f>J280</f>
        <v>0.33642604561790784</v>
      </c>
      <c r="AY19">
        <f>K280</f>
        <v>0.31232056243985279</v>
      </c>
      <c r="AZ19">
        <f>L280</f>
        <v>0.35125339194223937</v>
      </c>
      <c r="BA19">
        <f t="shared" si="6"/>
        <v>0.66357395438209221</v>
      </c>
      <c r="BC19">
        <v>2014</v>
      </c>
      <c r="BD19">
        <f>J282</f>
        <v>0.54494682558363472</v>
      </c>
      <c r="BE19">
        <f>K282</f>
        <v>0.45505317441636534</v>
      </c>
    </row>
    <row r="20" spans="1:57" x14ac:dyDescent="0.25">
      <c r="A20" s="605" t="s">
        <v>385</v>
      </c>
      <c r="B20" s="605"/>
      <c r="C20" s="605"/>
      <c r="D20" s="605"/>
      <c r="E20" s="605"/>
      <c r="F20" s="605"/>
      <c r="G20" s="605"/>
      <c r="I20" s="239"/>
      <c r="AA20" s="1">
        <v>2002</v>
      </c>
      <c r="AB20" s="1">
        <v>2003</v>
      </c>
      <c r="AC20" s="1">
        <v>2004</v>
      </c>
      <c r="AD20" s="1">
        <v>2005</v>
      </c>
      <c r="AE20" s="1">
        <v>2006</v>
      </c>
      <c r="AF20" s="1">
        <v>2007</v>
      </c>
      <c r="AG20" s="1">
        <v>2008</v>
      </c>
      <c r="AH20" s="1">
        <v>2009</v>
      </c>
      <c r="AI20" s="1">
        <v>2010</v>
      </c>
      <c r="AJ20" s="1">
        <v>2011</v>
      </c>
      <c r="AK20" s="1">
        <v>2012</v>
      </c>
      <c r="AL20" s="1">
        <v>2013</v>
      </c>
      <c r="AM20" s="1">
        <v>2014</v>
      </c>
      <c r="AN20" s="1">
        <v>2015</v>
      </c>
      <c r="AO20" s="1">
        <v>2016</v>
      </c>
      <c r="AP20" s="1">
        <v>2017</v>
      </c>
      <c r="AQ20" s="1">
        <v>2018</v>
      </c>
      <c r="AR20" s="1">
        <v>2019</v>
      </c>
      <c r="AS20" s="1">
        <v>2020</v>
      </c>
      <c r="AT20" s="1"/>
      <c r="AU20" s="1"/>
      <c r="AV20" s="1"/>
      <c r="AW20">
        <v>2015</v>
      </c>
      <c r="AX20">
        <f>J301</f>
        <v>0.26690298803137941</v>
      </c>
      <c r="AY20">
        <f>K301</f>
        <v>0.32231991681315464</v>
      </c>
      <c r="AZ20">
        <f>L301</f>
        <v>0.41077709515546595</v>
      </c>
      <c r="BA20">
        <f t="shared" si="6"/>
        <v>0.73309701196862065</v>
      </c>
      <c r="BC20">
        <v>2015</v>
      </c>
      <c r="BD20">
        <f>J303</f>
        <v>0.40956664742591403</v>
      </c>
      <c r="BE20">
        <f>K303</f>
        <v>0.59043335257408602</v>
      </c>
    </row>
    <row r="21" spans="1:57" ht="30" x14ac:dyDescent="0.25">
      <c r="A21" s="605" t="s">
        <v>386</v>
      </c>
      <c r="B21" s="605"/>
      <c r="C21" s="605"/>
      <c r="D21" s="605"/>
      <c r="E21" s="605"/>
      <c r="F21" s="605"/>
      <c r="G21" s="605"/>
      <c r="Z21" s="48" t="s">
        <v>387</v>
      </c>
      <c r="AA21" s="105">
        <f>P$24</f>
        <v>1665919</v>
      </c>
      <c r="AB21" s="105">
        <f>P$45</f>
        <v>1578238</v>
      </c>
      <c r="AC21" s="105">
        <f>P$66</f>
        <v>1806262</v>
      </c>
      <c r="AD21" s="105">
        <f>P$87</f>
        <v>1754593</v>
      </c>
      <c r="AE21" s="105">
        <f>P$108</f>
        <v>1768853</v>
      </c>
      <c r="AF21" s="105">
        <f>P$129</f>
        <v>1967314</v>
      </c>
      <c r="AG21" s="105">
        <f>P$150</f>
        <v>1912898</v>
      </c>
      <c r="AH21" s="105">
        <f>P$171</f>
        <v>2039042</v>
      </c>
      <c r="AI21" s="105">
        <f>P$192</f>
        <v>2140500</v>
      </c>
      <c r="AJ21" s="105">
        <f>P$213</f>
        <v>1898575</v>
      </c>
      <c r="AK21" s="105">
        <f>P$234</f>
        <v>2301337</v>
      </c>
      <c r="AL21" s="105">
        <f>P$255</f>
        <v>1935811</v>
      </c>
      <c r="AM21" s="105">
        <f>P$276</f>
        <v>2015605</v>
      </c>
      <c r="AN21" s="105">
        <f>P$297</f>
        <v>2181670</v>
      </c>
      <c r="AO21" s="105">
        <f>P$318</f>
        <v>2178982</v>
      </c>
      <c r="AP21" s="105">
        <f>P$339</f>
        <v>1804716</v>
      </c>
      <c r="AQ21" s="105">
        <f>P$360</f>
        <v>1782701</v>
      </c>
      <c r="AR21" s="105">
        <f>P380</f>
        <v>1581223</v>
      </c>
      <c r="AS21" s="105">
        <f>$P$401</f>
        <v>2026209.659</v>
      </c>
      <c r="AT21" s="105"/>
      <c r="AU21" s="105"/>
      <c r="AV21" s="105"/>
      <c r="AW21">
        <v>2016</v>
      </c>
      <c r="AX21">
        <f>J322</f>
        <v>0.2359739291558528</v>
      </c>
      <c r="AY21">
        <f>K322</f>
        <v>0.31321205297070898</v>
      </c>
      <c r="AZ21">
        <f>L322</f>
        <v>0.45081401787343822</v>
      </c>
      <c r="BA21">
        <f t="shared" si="6"/>
        <v>0.7640260708441472</v>
      </c>
      <c r="BC21">
        <v>2016</v>
      </c>
      <c r="BD21">
        <f>J324</f>
        <v>0.6488394391677974</v>
      </c>
      <c r="BE21">
        <f>K324</f>
        <v>0.35116056083220265</v>
      </c>
    </row>
    <row r="22" spans="1:57" ht="30" x14ac:dyDescent="0.25">
      <c r="A22" s="605" t="s">
        <v>388</v>
      </c>
      <c r="B22" s="605" t="s">
        <v>389</v>
      </c>
      <c r="C22" s="605" t="s">
        <v>390</v>
      </c>
      <c r="D22" s="435" t="s">
        <v>391</v>
      </c>
      <c r="E22" s="435" t="s">
        <v>392</v>
      </c>
      <c r="F22" s="605" t="s">
        <v>393</v>
      </c>
      <c r="G22" s="435" t="s">
        <v>392</v>
      </c>
      <c r="J22" t="s">
        <v>394</v>
      </c>
      <c r="Z22" s="48" t="s">
        <v>365</v>
      </c>
      <c r="AA22" s="105">
        <f>Q$24</f>
        <v>34954</v>
      </c>
      <c r="AB22" s="105">
        <f>Q$45</f>
        <v>17866</v>
      </c>
      <c r="AC22" s="105">
        <f>Q$66</f>
        <v>37915</v>
      </c>
      <c r="AD22" s="105">
        <f>Q$87</f>
        <v>22963</v>
      </c>
      <c r="AE22" s="105">
        <f>Q$108</f>
        <v>27983</v>
      </c>
      <c r="AF22" s="105">
        <f>Q$129</f>
        <v>48397</v>
      </c>
      <c r="AG22" s="105">
        <f>Q$150</f>
        <v>50393</v>
      </c>
      <c r="AH22" s="105">
        <f>Q$171</f>
        <v>72146</v>
      </c>
      <c r="AI22" s="105">
        <f>Q$192</f>
        <v>105068</v>
      </c>
      <c r="AJ22" s="105">
        <f>Q$213</f>
        <v>47420</v>
      </c>
      <c r="AK22" s="105">
        <f>Q$234</f>
        <v>52733</v>
      </c>
      <c r="AL22" s="105">
        <f>Q$255</f>
        <v>50314</v>
      </c>
      <c r="AM22" s="105">
        <f>Q$276</f>
        <v>109871</v>
      </c>
      <c r="AN22" s="105">
        <f>Q$297</f>
        <v>85042</v>
      </c>
      <c r="AO22" s="105">
        <f>Q$318</f>
        <v>53202</v>
      </c>
      <c r="AP22" s="105">
        <f>Q$339</f>
        <v>36606</v>
      </c>
      <c r="AQ22" s="105">
        <f>Q$360</f>
        <v>38649</v>
      </c>
      <c r="AR22" s="105">
        <f>Q380</f>
        <v>23310</v>
      </c>
      <c r="AS22" s="105">
        <f>$Q$401</f>
        <v>23299.906780000001</v>
      </c>
      <c r="AT22" s="105"/>
      <c r="AU22" s="105"/>
      <c r="AV22" s="105"/>
      <c r="AW22">
        <v>2017</v>
      </c>
      <c r="AX22">
        <f>J343</f>
        <v>0.36454774557063097</v>
      </c>
      <c r="AY22">
        <f>K343</f>
        <v>0.26674211449633611</v>
      </c>
      <c r="AZ22">
        <f>L343</f>
        <v>0.36871013993303298</v>
      </c>
      <c r="BA22">
        <f t="shared" si="6"/>
        <v>0.63545225442936903</v>
      </c>
      <c r="BC22">
        <v>2017</v>
      </c>
      <c r="BD22">
        <f>J345</f>
        <v>0.47724243442784453</v>
      </c>
      <c r="BE22">
        <f>K345</f>
        <v>0.52275756557215547</v>
      </c>
    </row>
    <row r="23" spans="1:57" ht="30" x14ac:dyDescent="0.25">
      <c r="A23" s="605"/>
      <c r="B23" s="605"/>
      <c r="C23" s="605"/>
      <c r="D23" s="435" t="s">
        <v>390</v>
      </c>
      <c r="E23" s="435" t="s">
        <v>395</v>
      </c>
      <c r="F23" s="605"/>
      <c r="G23" s="435" t="s">
        <v>393</v>
      </c>
      <c r="I23">
        <v>2002</v>
      </c>
      <c r="J23" t="s">
        <v>396</v>
      </c>
      <c r="K23" t="s">
        <v>397</v>
      </c>
      <c r="L23" t="s">
        <v>398</v>
      </c>
      <c r="O23" t="s">
        <v>131</v>
      </c>
      <c r="P23" s="48" t="s">
        <v>399</v>
      </c>
      <c r="Q23" s="48" t="s">
        <v>400</v>
      </c>
      <c r="R23" s="48" t="s">
        <v>401</v>
      </c>
      <c r="S23" t="s">
        <v>402</v>
      </c>
      <c r="T23" s="48" t="s">
        <v>403</v>
      </c>
      <c r="U23" s="48" t="s">
        <v>396</v>
      </c>
      <c r="Z23" s="48" t="s">
        <v>401</v>
      </c>
      <c r="AA23" s="105">
        <f>R$24</f>
        <v>245784</v>
      </c>
      <c r="AB23" s="105">
        <f>R$45</f>
        <v>216329</v>
      </c>
      <c r="AC23" s="105">
        <f>R$66</f>
        <v>283690</v>
      </c>
      <c r="AD23" s="105">
        <f>R$87</f>
        <v>234246</v>
      </c>
      <c r="AE23" s="105">
        <f>R$108</f>
        <v>319932</v>
      </c>
      <c r="AF23" s="105">
        <f>R$129</f>
        <v>248268</v>
      </c>
      <c r="AG23" s="105">
        <f>R$150</f>
        <v>329347</v>
      </c>
      <c r="AH23" s="105">
        <f>R$171</f>
        <v>423242</v>
      </c>
      <c r="AI23" s="105">
        <f>R$192</f>
        <v>429287</v>
      </c>
      <c r="AJ23" s="105">
        <f>R$213</f>
        <v>511316</v>
      </c>
      <c r="AK23" s="105">
        <f>R$234</f>
        <v>503336</v>
      </c>
      <c r="AL23" s="105">
        <f>R$255</f>
        <v>535880</v>
      </c>
      <c r="AM23" s="105">
        <f>R$276</f>
        <v>622431</v>
      </c>
      <c r="AN23" s="105">
        <f>R$297</f>
        <v>618367</v>
      </c>
      <c r="AO23" s="105">
        <f>R$318</f>
        <v>646546</v>
      </c>
      <c r="AP23" s="105">
        <f>R$339</f>
        <v>705123</v>
      </c>
      <c r="AQ23" s="105">
        <f>R$360</f>
        <v>592629</v>
      </c>
      <c r="AR23" s="105">
        <f>R380</f>
        <v>456633</v>
      </c>
      <c r="AS23" s="105">
        <f>$R$401</f>
        <v>569233.59069999994</v>
      </c>
      <c r="AT23" s="105"/>
      <c r="AU23" s="105"/>
      <c r="AV23" s="105"/>
      <c r="AW23">
        <v>2018</v>
      </c>
      <c r="AX23">
        <f>J364</f>
        <v>0.29811568451763243</v>
      </c>
      <c r="AY23">
        <f>K364</f>
        <v>0.26652593781269562</v>
      </c>
      <c r="AZ23">
        <f>L364</f>
        <v>0.43535837766967189</v>
      </c>
      <c r="BA23">
        <f t="shared" si="6"/>
        <v>0.70188431548236752</v>
      </c>
      <c r="BC23">
        <v>2018</v>
      </c>
      <c r="BD23">
        <f>J366</f>
        <v>0.60902623063100503</v>
      </c>
      <c r="BE23">
        <f>K366</f>
        <v>0.39097376936899497</v>
      </c>
    </row>
    <row r="24" spans="1:57" ht="30" x14ac:dyDescent="0.25">
      <c r="A24" s="435" t="s">
        <v>404</v>
      </c>
      <c r="B24" s="435" t="s">
        <v>404</v>
      </c>
      <c r="C24" s="106">
        <v>31</v>
      </c>
      <c r="D24" s="106">
        <v>79412</v>
      </c>
      <c r="E24" s="106">
        <v>22922</v>
      </c>
      <c r="F24" s="106">
        <v>3.3799999999999997E-2</v>
      </c>
      <c r="G24" s="106">
        <v>9.7000000000000003E-3</v>
      </c>
      <c r="H24" t="s">
        <v>405</v>
      </c>
      <c r="I24" t="s">
        <v>396</v>
      </c>
      <c r="J24" s="107">
        <f>D33</f>
        <v>223826315</v>
      </c>
      <c r="K24" s="108">
        <f>D32</f>
        <v>9225312</v>
      </c>
      <c r="L24" s="109">
        <f>D34</f>
        <v>1665919</v>
      </c>
      <c r="M24" s="105">
        <f>SUM(J24:L24)</f>
        <v>234717546</v>
      </c>
      <c r="N24" s="214" t="s">
        <v>406</v>
      </c>
      <c r="O24">
        <v>2002</v>
      </c>
      <c r="P24" s="110">
        <f>L24</f>
        <v>1665919</v>
      </c>
      <c r="Q24" s="111">
        <f>L25</f>
        <v>34954</v>
      </c>
      <c r="R24" s="112">
        <f>SUM(J26:L26)</f>
        <v>245784</v>
      </c>
      <c r="S24" s="113">
        <f>K24</f>
        <v>9225312</v>
      </c>
      <c r="T24" s="114">
        <f>SUM(J25:K25)</f>
        <v>144961</v>
      </c>
      <c r="U24" s="115">
        <f>J24</f>
        <v>223826315</v>
      </c>
      <c r="Z24" s="48" t="s">
        <v>374</v>
      </c>
      <c r="AA24" s="105">
        <f>S$24</f>
        <v>9225312</v>
      </c>
      <c r="AB24" s="105">
        <f>S$45</f>
        <v>10003110</v>
      </c>
      <c r="AC24" s="105">
        <f>S$66</f>
        <v>9389311</v>
      </c>
      <c r="AD24" s="105">
        <f>S$87</f>
        <v>9709431</v>
      </c>
      <c r="AE24" s="105">
        <f>S$108</f>
        <v>10191551</v>
      </c>
      <c r="AF24" s="105">
        <f>S$129</f>
        <v>10292408</v>
      </c>
      <c r="AG24" s="105">
        <f>S$150</f>
        <v>9795118</v>
      </c>
      <c r="AH24" s="105">
        <f>S$171</f>
        <v>9965813</v>
      </c>
      <c r="AI24" s="105">
        <f>S$192</f>
        <v>9823494</v>
      </c>
      <c r="AJ24" s="105">
        <f>S$213</f>
        <v>8794760</v>
      </c>
      <c r="AK24" s="105">
        <f>S$234</f>
        <v>9898266</v>
      </c>
      <c r="AL24" s="105">
        <f>S$255</f>
        <v>8543367</v>
      </c>
      <c r="AM24" s="105">
        <f>S$276</f>
        <v>7654608</v>
      </c>
      <c r="AN24" s="105">
        <f>S$297</f>
        <v>9631764</v>
      </c>
      <c r="AO24" s="105">
        <f>S$318</f>
        <v>8783829</v>
      </c>
      <c r="AP24" s="105">
        <f>S$339</f>
        <v>8379498</v>
      </c>
      <c r="AQ24" s="105">
        <f>S$360</f>
        <v>7663420</v>
      </c>
      <c r="AR24" s="105">
        <f>S380</f>
        <v>7798728</v>
      </c>
      <c r="AS24" s="105">
        <f>$S$401</f>
        <v>6483795.7390000001</v>
      </c>
      <c r="AT24" s="105"/>
      <c r="AU24" s="105"/>
      <c r="AV24" s="105"/>
      <c r="AW24">
        <v>2019</v>
      </c>
      <c r="AX24">
        <f>J384</f>
        <v>0.36054555846817904</v>
      </c>
      <c r="AY24">
        <f>K384</f>
        <v>0.2002373897637709</v>
      </c>
      <c r="AZ24">
        <f>L384</f>
        <v>0.43921705176805004</v>
      </c>
      <c r="BA24">
        <f>AZ24+AY24</f>
        <v>0.63945444153182096</v>
      </c>
      <c r="BC24">
        <v>2019</v>
      </c>
      <c r="BD24">
        <f>J386</f>
        <v>0.75422652532179868</v>
      </c>
      <c r="BE24">
        <f>K386</f>
        <v>0.24577347467820138</v>
      </c>
    </row>
    <row r="25" spans="1:57" ht="30" x14ac:dyDescent="0.25">
      <c r="A25" s="435"/>
      <c r="B25" s="435" t="s">
        <v>396</v>
      </c>
      <c r="C25" s="106">
        <v>22</v>
      </c>
      <c r="D25" s="106">
        <v>65549</v>
      </c>
      <c r="E25" s="106">
        <v>33051</v>
      </c>
      <c r="F25" s="106">
        <v>2.7900000000000001E-2</v>
      </c>
      <c r="G25" s="106">
        <v>1.4E-2</v>
      </c>
      <c r="I25" t="s">
        <v>397</v>
      </c>
      <c r="J25" s="116">
        <f>D25</f>
        <v>65549</v>
      </c>
      <c r="K25" s="117">
        <f>D24</f>
        <v>79412</v>
      </c>
      <c r="L25" s="118">
        <f>D26</f>
        <v>34954</v>
      </c>
      <c r="M25" s="105">
        <f t="shared" ref="M25:M26" si="10">SUM(J25:L25)</f>
        <v>179915</v>
      </c>
      <c r="N25">
        <f>K25/(K25+J25)</f>
        <v>0.54781630921420243</v>
      </c>
      <c r="Z25" s="48" t="s">
        <v>375</v>
      </c>
      <c r="AA25" s="105">
        <f>T$24</f>
        <v>144961</v>
      </c>
      <c r="AB25" s="105">
        <f>T$45</f>
        <v>112467</v>
      </c>
      <c r="AC25" s="105">
        <f>T$66</f>
        <v>127737</v>
      </c>
      <c r="AD25" s="105">
        <f>T$87</f>
        <v>143973</v>
      </c>
      <c r="AE25" s="105">
        <f>T$108</f>
        <v>198182</v>
      </c>
      <c r="AF25" s="105">
        <f>T$129</f>
        <v>103162</v>
      </c>
      <c r="AG25" s="105">
        <f>T$150</f>
        <v>140496</v>
      </c>
      <c r="AH25" s="105">
        <f>T$171</f>
        <v>214966</v>
      </c>
      <c r="AI25" s="105">
        <f>T$192</f>
        <v>146161</v>
      </c>
      <c r="AJ25" s="105">
        <f>T$213</f>
        <v>134826</v>
      </c>
      <c r="AK25" s="105">
        <f>T$234</f>
        <v>133314</v>
      </c>
      <c r="AL25" s="105">
        <f>T$255</f>
        <v>158816</v>
      </c>
      <c r="AM25" s="105">
        <f>T$276</f>
        <v>280398</v>
      </c>
      <c r="AN25" s="105">
        <f>T$297</f>
        <v>183638</v>
      </c>
      <c r="AO25" s="105">
        <f>T$318</f>
        <v>276375</v>
      </c>
      <c r="AP25" s="105">
        <f>T$339</f>
        <v>258837</v>
      </c>
      <c r="AQ25" s="105">
        <f>T$360</f>
        <v>259887</v>
      </c>
      <c r="AR25" s="105">
        <f>T380</f>
        <v>267714</v>
      </c>
      <c r="AS25" s="105">
        <f>$T$401</f>
        <v>379094.53269999998</v>
      </c>
    </row>
    <row r="26" spans="1:57" ht="15.75" thickBot="1" x14ac:dyDescent="0.3">
      <c r="A26" s="435"/>
      <c r="B26" s="435" t="s">
        <v>407</v>
      </c>
      <c r="C26" s="106">
        <v>21</v>
      </c>
      <c r="D26" s="106">
        <v>34954</v>
      </c>
      <c r="E26" s="106">
        <v>9881</v>
      </c>
      <c r="F26" s="106">
        <v>1.49E-2</v>
      </c>
      <c r="G26" s="106">
        <v>4.1999999999999997E-3</v>
      </c>
      <c r="I26" t="s">
        <v>408</v>
      </c>
      <c r="J26" s="119">
        <f>D29</f>
        <v>111268</v>
      </c>
      <c r="K26" s="120">
        <f>D28</f>
        <v>46266</v>
      </c>
      <c r="L26" s="121">
        <f>D30</f>
        <v>88250</v>
      </c>
      <c r="M26" s="105">
        <f t="shared" si="10"/>
        <v>245784</v>
      </c>
      <c r="Z26" s="48" t="s">
        <v>396</v>
      </c>
      <c r="AA26" s="105">
        <f>U$24</f>
        <v>223826315</v>
      </c>
      <c r="AB26" s="105">
        <f>U$45</f>
        <v>225753999</v>
      </c>
      <c r="AC26" s="105">
        <f>U$66</f>
        <v>228869900</v>
      </c>
      <c r="AD26" s="105">
        <f>U$87</f>
        <v>231355077</v>
      </c>
      <c r="AE26" s="105">
        <f>U$108</f>
        <v>233515153</v>
      </c>
      <c r="AF26" s="105">
        <f>U$129</f>
        <v>235185658</v>
      </c>
      <c r="AG26" s="105">
        <f>U$150</f>
        <v>237586835</v>
      </c>
      <c r="AH26" s="105">
        <f>U$171</f>
        <v>239100324</v>
      </c>
      <c r="AI26" s="105">
        <f>U$192</f>
        <v>240974597</v>
      </c>
      <c r="AJ26" s="105">
        <f>U$213</f>
        <v>246212048</v>
      </c>
      <c r="AK26" s="105">
        <f>U$234</f>
        <v>247168338</v>
      </c>
      <c r="AL26" s="105">
        <f>U$255</f>
        <v>251167266</v>
      </c>
      <c r="AM26" s="105">
        <f>U$276</f>
        <v>254439952</v>
      </c>
      <c r="AN26" s="105">
        <f>U$297</f>
        <v>254994009</v>
      </c>
      <c r="AO26" s="105">
        <f>U$318</f>
        <v>257491202</v>
      </c>
      <c r="AP26" s="105">
        <f>U$339</f>
        <v>260918554</v>
      </c>
      <c r="AQ26" s="105">
        <f>U$360</f>
        <v>263415756</v>
      </c>
      <c r="AR26" s="105">
        <f>U380</f>
        <v>265093638</v>
      </c>
      <c r="AS26" s="105">
        <f>U401</f>
        <v>267430341.5</v>
      </c>
    </row>
    <row r="27" spans="1:57" x14ac:dyDescent="0.25">
      <c r="A27" s="435"/>
      <c r="B27" s="435" t="s">
        <v>192</v>
      </c>
      <c r="C27" s="106">
        <v>74</v>
      </c>
      <c r="D27" s="106">
        <v>179916</v>
      </c>
      <c r="E27" s="106">
        <v>39925</v>
      </c>
      <c r="F27" s="106">
        <v>7.6499999999999999E-2</v>
      </c>
      <c r="G27" s="106">
        <v>1.6899999999999998E-2</v>
      </c>
      <c r="J27" s="85">
        <f>SUM(J24:J26)</f>
        <v>224003132</v>
      </c>
      <c r="K27" s="85">
        <f>SUM(K24:K26)</f>
        <v>9350990</v>
      </c>
      <c r="L27" s="85">
        <f>SUM(L24:L26)</f>
        <v>1789123</v>
      </c>
      <c r="Z27" s="48"/>
      <c r="AA27" s="105"/>
      <c r="AB27" s="105"/>
      <c r="AC27" s="105"/>
      <c r="AD27" s="105"/>
      <c r="AE27" s="105"/>
      <c r="AF27" s="105"/>
      <c r="AG27" s="105"/>
      <c r="AH27" s="105"/>
      <c r="AI27" s="105"/>
      <c r="AJ27" s="105"/>
      <c r="AK27" s="105"/>
      <c r="AL27" s="105"/>
      <c r="AM27" s="105"/>
      <c r="AN27" s="105"/>
      <c r="AO27" s="105"/>
      <c r="AP27" s="105"/>
      <c r="AQ27" s="105"/>
      <c r="AR27" s="105"/>
    </row>
    <row r="28" spans="1:57" x14ac:dyDescent="0.25">
      <c r="A28" s="435" t="s">
        <v>401</v>
      </c>
      <c r="B28" s="435" t="s">
        <v>404</v>
      </c>
      <c r="C28" s="106">
        <v>21</v>
      </c>
      <c r="D28" s="106">
        <v>46266</v>
      </c>
      <c r="E28" s="106">
        <v>17519</v>
      </c>
      <c r="F28" s="106">
        <v>1.9699999999999999E-2</v>
      </c>
      <c r="G28" s="106">
        <v>7.4000000000000003E-3</v>
      </c>
      <c r="J28">
        <f>J26/(J26+K26+L26)</f>
        <v>0.45270644142824595</v>
      </c>
      <c r="K28">
        <f>K26/(K26+J26+L26)</f>
        <v>0.18823845327604727</v>
      </c>
      <c r="L28">
        <f>L26/(K26+L26+J26)</f>
        <v>0.35905510529570678</v>
      </c>
    </row>
    <row r="29" spans="1:57" x14ac:dyDescent="0.25">
      <c r="A29" s="435"/>
      <c r="B29" s="435" t="s">
        <v>396</v>
      </c>
      <c r="C29" s="106">
        <v>24</v>
      </c>
      <c r="D29" s="106">
        <v>111268</v>
      </c>
      <c r="E29" s="106">
        <v>34105</v>
      </c>
      <c r="F29" s="106">
        <v>4.7300000000000002E-2</v>
      </c>
      <c r="G29" s="106">
        <v>1.46E-2</v>
      </c>
    </row>
    <row r="30" spans="1:57" x14ac:dyDescent="0.25">
      <c r="A30" s="435"/>
      <c r="B30" s="435" t="s">
        <v>407</v>
      </c>
      <c r="C30" s="106">
        <v>18</v>
      </c>
      <c r="D30" s="106">
        <v>88250</v>
      </c>
      <c r="E30" s="106">
        <v>40658</v>
      </c>
      <c r="F30" s="106">
        <v>3.7499999999999999E-2</v>
      </c>
      <c r="G30" s="106">
        <v>1.7299999999999999E-2</v>
      </c>
      <c r="J30">
        <f>J25/(J25+K25)</f>
        <v>0.45218369078579757</v>
      </c>
      <c r="K30">
        <f>K25/(K25+J25)</f>
        <v>0.54781630921420243</v>
      </c>
      <c r="AA30" s="235"/>
      <c r="AB30" s="235"/>
      <c r="AC30" s="235"/>
      <c r="AD30" s="235"/>
      <c r="AE30" s="235"/>
      <c r="AF30" s="235"/>
      <c r="AG30" s="235"/>
      <c r="AH30" s="235"/>
      <c r="AI30" s="235"/>
      <c r="AJ30" s="235"/>
      <c r="AK30" s="235"/>
      <c r="AL30" s="235"/>
      <c r="AM30" s="235"/>
      <c r="AN30" s="235"/>
      <c r="AO30" s="235"/>
      <c r="AP30" s="235"/>
      <c r="AQ30" s="235"/>
      <c r="AR30" s="235"/>
    </row>
    <row r="31" spans="1:57" x14ac:dyDescent="0.25">
      <c r="A31" s="435"/>
      <c r="B31" s="435" t="s">
        <v>192</v>
      </c>
      <c r="C31" s="106">
        <v>63</v>
      </c>
      <c r="D31" s="106">
        <v>245784</v>
      </c>
      <c r="E31" s="106">
        <v>50090</v>
      </c>
      <c r="F31" s="106">
        <v>0.1045</v>
      </c>
      <c r="G31" s="106">
        <v>2.1299999999999999E-2</v>
      </c>
      <c r="AA31" s="235"/>
      <c r="AB31" s="235"/>
      <c r="AC31" s="235"/>
      <c r="AD31" s="235"/>
      <c r="AE31" s="235"/>
      <c r="AF31" s="235"/>
      <c r="AG31" s="235"/>
      <c r="AH31" s="235"/>
      <c r="AI31" s="235"/>
      <c r="AJ31" s="235"/>
      <c r="AK31" s="235"/>
      <c r="AL31" s="235"/>
      <c r="AM31" s="235"/>
      <c r="AN31" s="235"/>
      <c r="AO31" s="235"/>
      <c r="AP31" s="235"/>
      <c r="AQ31" s="235"/>
      <c r="AR31" s="235"/>
    </row>
    <row r="32" spans="1:57" x14ac:dyDescent="0.25">
      <c r="A32" s="435" t="s">
        <v>396</v>
      </c>
      <c r="B32" s="435" t="s">
        <v>404</v>
      </c>
      <c r="C32" s="106">
        <v>3359</v>
      </c>
      <c r="D32" s="106">
        <v>9225312</v>
      </c>
      <c r="E32" s="106">
        <v>331319</v>
      </c>
      <c r="F32" s="106">
        <v>3.9232999999999998</v>
      </c>
      <c r="G32" s="106">
        <v>0.12870000000000001</v>
      </c>
      <c r="I32">
        <v>2002</v>
      </c>
      <c r="J32" t="s">
        <v>396</v>
      </c>
      <c r="K32" t="s">
        <v>397</v>
      </c>
      <c r="L32" t="s">
        <v>398</v>
      </c>
      <c r="N32" t="s">
        <v>401</v>
      </c>
      <c r="O32" s="105">
        <f>SUM(J35:L35)</f>
        <v>63</v>
      </c>
      <c r="Z32" s="235"/>
      <c r="AA32" s="235"/>
      <c r="AB32" s="235"/>
      <c r="AC32" s="235"/>
      <c r="AD32" s="235"/>
      <c r="AE32" s="235"/>
      <c r="AF32" s="235"/>
      <c r="AG32" s="235"/>
      <c r="AH32" s="235"/>
      <c r="AI32" s="235"/>
      <c r="AJ32" s="235"/>
      <c r="AK32" s="235"/>
      <c r="AL32" s="235"/>
      <c r="AM32" s="235"/>
      <c r="AN32" s="235"/>
      <c r="AO32" s="235"/>
      <c r="AP32" s="235"/>
      <c r="AQ32" s="235"/>
      <c r="AR32" s="235"/>
    </row>
    <row r="33" spans="1:44" x14ac:dyDescent="0.25">
      <c r="A33" s="435"/>
      <c r="B33" s="435" t="s">
        <v>396</v>
      </c>
      <c r="C33" s="106">
        <v>50018</v>
      </c>
      <c r="D33" s="106">
        <v>223826315</v>
      </c>
      <c r="E33" s="106">
        <v>2114794</v>
      </c>
      <c r="F33" s="106">
        <v>95.187200000000004</v>
      </c>
      <c r="G33" s="106">
        <v>0.14910000000000001</v>
      </c>
      <c r="I33" t="s">
        <v>396</v>
      </c>
      <c r="J33" s="107">
        <f>C33</f>
        <v>50018</v>
      </c>
      <c r="K33" s="108">
        <f>C32</f>
        <v>3359</v>
      </c>
      <c r="L33" s="109">
        <f>C34</f>
        <v>565</v>
      </c>
      <c r="N33" t="s">
        <v>409</v>
      </c>
      <c r="O33" s="105">
        <f>L34</f>
        <v>21</v>
      </c>
      <c r="Z33" s="236"/>
      <c r="AA33" s="235"/>
      <c r="AB33" s="235"/>
      <c r="AC33" s="235"/>
      <c r="AD33" s="235"/>
      <c r="AE33" s="235"/>
      <c r="AF33" s="235"/>
      <c r="AG33" s="235"/>
      <c r="AH33" s="235"/>
      <c r="AI33" s="235"/>
      <c r="AJ33" s="235"/>
      <c r="AK33" s="235"/>
      <c r="AL33" s="235"/>
      <c r="AM33" s="235"/>
      <c r="AN33" s="235"/>
      <c r="AO33" s="235"/>
      <c r="AP33" s="235"/>
      <c r="AQ33" s="235"/>
      <c r="AR33" s="235"/>
    </row>
    <row r="34" spans="1:44" x14ac:dyDescent="0.25">
      <c r="A34" s="435"/>
      <c r="B34" s="435" t="s">
        <v>407</v>
      </c>
      <c r="C34" s="106">
        <v>565</v>
      </c>
      <c r="D34" s="106">
        <v>1665919</v>
      </c>
      <c r="E34" s="106">
        <v>130673</v>
      </c>
      <c r="F34" s="106">
        <v>0.70850000000000002</v>
      </c>
      <c r="G34" s="106">
        <v>5.5E-2</v>
      </c>
      <c r="I34" t="s">
        <v>397</v>
      </c>
      <c r="J34" s="116">
        <f>C25</f>
        <v>22</v>
      </c>
      <c r="K34" s="117">
        <f>C24</f>
        <v>31</v>
      </c>
      <c r="L34" s="118">
        <f>C26</f>
        <v>21</v>
      </c>
      <c r="N34" t="s">
        <v>410</v>
      </c>
      <c r="O34" s="105">
        <f>L33</f>
        <v>565</v>
      </c>
      <c r="Z34" s="235"/>
      <c r="AA34" s="235"/>
      <c r="AB34" s="235"/>
      <c r="AC34" s="235"/>
      <c r="AD34" s="235"/>
      <c r="AE34" s="235"/>
      <c r="AF34" s="235"/>
      <c r="AG34" s="235"/>
      <c r="AH34" s="235"/>
      <c r="AI34" s="235"/>
      <c r="AJ34" s="235"/>
      <c r="AK34" s="235"/>
      <c r="AL34" s="235"/>
      <c r="AM34" s="235"/>
      <c r="AN34" s="235"/>
      <c r="AO34" s="235"/>
      <c r="AP34" s="235"/>
      <c r="AQ34" s="235"/>
      <c r="AR34" s="235"/>
    </row>
    <row r="35" spans="1:44" x14ac:dyDescent="0.25">
      <c r="A35" s="435"/>
      <c r="B35" s="435" t="s">
        <v>192</v>
      </c>
      <c r="C35" s="106">
        <v>53942</v>
      </c>
      <c r="D35" s="106">
        <v>234717546</v>
      </c>
      <c r="E35" s="106">
        <v>2253428</v>
      </c>
      <c r="F35" s="106">
        <v>99.819000000000003</v>
      </c>
      <c r="G35" s="106">
        <v>2.6100000000000002E-2</v>
      </c>
      <c r="I35" t="s">
        <v>408</v>
      </c>
      <c r="J35" s="119">
        <f>C29</f>
        <v>24</v>
      </c>
      <c r="K35" s="120">
        <f>C28</f>
        <v>21</v>
      </c>
      <c r="L35" s="121">
        <f>C30</f>
        <v>18</v>
      </c>
      <c r="N35" t="s">
        <v>411</v>
      </c>
      <c r="O35" s="105">
        <f>SUM(J34:K34)</f>
        <v>53</v>
      </c>
      <c r="Z35" s="235"/>
      <c r="AA35" s="235"/>
      <c r="AB35" s="236"/>
      <c r="AC35" s="235"/>
      <c r="AD35" s="235"/>
      <c r="AE35" s="236"/>
      <c r="AF35" s="236"/>
      <c r="AG35" s="235"/>
      <c r="AH35" s="235"/>
      <c r="AI35" s="235"/>
      <c r="AJ35" s="235"/>
      <c r="AK35" s="235"/>
      <c r="AL35" s="235"/>
      <c r="AM35" s="235"/>
      <c r="AN35" s="235"/>
      <c r="AO35" s="235"/>
      <c r="AP35" s="235"/>
      <c r="AQ35" s="235"/>
      <c r="AR35" s="235"/>
    </row>
    <row r="36" spans="1:44" x14ac:dyDescent="0.25">
      <c r="A36" s="435" t="s">
        <v>192</v>
      </c>
      <c r="B36" s="435" t="s">
        <v>404</v>
      </c>
      <c r="C36" s="106">
        <v>3411</v>
      </c>
      <c r="D36" s="106">
        <v>9350990</v>
      </c>
      <c r="E36" s="106">
        <v>340398</v>
      </c>
      <c r="F36" s="106">
        <v>3.9767000000000001</v>
      </c>
      <c r="G36" s="106">
        <v>0.13189999999999999</v>
      </c>
      <c r="N36" t="s">
        <v>412</v>
      </c>
      <c r="O36" s="105">
        <f>K33</f>
        <v>3359</v>
      </c>
      <c r="Z36" s="236"/>
      <c r="AA36" s="235"/>
    </row>
    <row r="37" spans="1:44" x14ac:dyDescent="0.25">
      <c r="A37" s="435"/>
      <c r="B37" s="435" t="s">
        <v>396</v>
      </c>
      <c r="C37" s="106">
        <v>50064</v>
      </c>
      <c r="D37" s="106">
        <v>224003133</v>
      </c>
      <c r="E37" s="106">
        <v>2113419</v>
      </c>
      <c r="F37" s="106">
        <v>95.2624</v>
      </c>
      <c r="G37" s="106">
        <v>0.1482</v>
      </c>
      <c r="Z37" s="236"/>
      <c r="AA37" s="235"/>
    </row>
    <row r="38" spans="1:44" x14ac:dyDescent="0.25">
      <c r="A38" s="435"/>
      <c r="B38" s="435" t="s">
        <v>407</v>
      </c>
      <c r="C38" s="106">
        <v>604</v>
      </c>
      <c r="D38" s="106">
        <v>1789123</v>
      </c>
      <c r="E38" s="106">
        <v>140479</v>
      </c>
      <c r="F38" s="106">
        <v>0.76090000000000002</v>
      </c>
      <c r="G38" s="106">
        <v>5.91E-2</v>
      </c>
      <c r="Z38" s="235"/>
      <c r="AA38" s="235"/>
    </row>
    <row r="39" spans="1:44" x14ac:dyDescent="0.25">
      <c r="A39" s="435"/>
      <c r="B39" s="435" t="s">
        <v>192</v>
      </c>
      <c r="C39" s="106">
        <v>54079</v>
      </c>
      <c r="D39" s="106">
        <v>235143245</v>
      </c>
      <c r="E39" s="106">
        <v>2260582</v>
      </c>
      <c r="F39" s="106">
        <v>100</v>
      </c>
      <c r="G39" s="106"/>
      <c r="Z39" s="235"/>
      <c r="AA39" s="235"/>
    </row>
    <row r="40" spans="1:44" x14ac:dyDescent="0.25">
      <c r="A40" s="122"/>
      <c r="Z40" s="235"/>
      <c r="AA40" s="235"/>
    </row>
    <row r="41" spans="1:44" x14ac:dyDescent="0.25">
      <c r="A41" s="605" t="s">
        <v>385</v>
      </c>
      <c r="B41" s="605"/>
      <c r="C41" s="605"/>
      <c r="D41" s="605"/>
      <c r="E41" s="605"/>
      <c r="F41" s="605"/>
      <c r="G41" s="605"/>
      <c r="Z41" s="235"/>
      <c r="AA41" s="235"/>
    </row>
    <row r="42" spans="1:44" x14ac:dyDescent="0.25">
      <c r="A42" s="605" t="s">
        <v>413</v>
      </c>
      <c r="B42" s="605"/>
      <c r="C42" s="605"/>
      <c r="D42" s="605"/>
      <c r="E42" s="605"/>
      <c r="F42" s="605"/>
      <c r="G42" s="605"/>
      <c r="Z42" s="235"/>
      <c r="AA42" s="235"/>
    </row>
    <row r="43" spans="1:44" x14ac:dyDescent="0.25">
      <c r="A43" s="605" t="s">
        <v>388</v>
      </c>
      <c r="B43" s="605" t="s">
        <v>389</v>
      </c>
      <c r="C43" s="605" t="s">
        <v>390</v>
      </c>
      <c r="D43" s="435" t="s">
        <v>391</v>
      </c>
      <c r="E43" s="435" t="s">
        <v>392</v>
      </c>
      <c r="F43" s="605" t="s">
        <v>393</v>
      </c>
      <c r="G43" s="435" t="s">
        <v>392</v>
      </c>
      <c r="J43" t="s">
        <v>394</v>
      </c>
      <c r="Z43" s="235"/>
      <c r="AA43" s="235"/>
    </row>
    <row r="44" spans="1:44" ht="30.75" thickBot="1" x14ac:dyDescent="0.3">
      <c r="A44" s="605"/>
      <c r="B44" s="605"/>
      <c r="C44" s="605"/>
      <c r="D44" s="435" t="s">
        <v>390</v>
      </c>
      <c r="E44" s="435" t="s">
        <v>395</v>
      </c>
      <c r="F44" s="605"/>
      <c r="G44" s="435" t="s">
        <v>393</v>
      </c>
      <c r="I44">
        <v>2003</v>
      </c>
      <c r="J44" t="s">
        <v>396</v>
      </c>
      <c r="K44" t="s">
        <v>397</v>
      </c>
      <c r="L44" t="s">
        <v>398</v>
      </c>
      <c r="P44" s="48" t="s">
        <v>399</v>
      </c>
      <c r="Q44" s="48" t="s">
        <v>400</v>
      </c>
      <c r="R44" s="48" t="s">
        <v>401</v>
      </c>
      <c r="S44" t="s">
        <v>402</v>
      </c>
      <c r="T44" s="48" t="s">
        <v>403</v>
      </c>
      <c r="U44" s="48" t="s">
        <v>396</v>
      </c>
      <c r="Z44" s="235"/>
      <c r="AA44" s="235"/>
    </row>
    <row r="45" spans="1:44" ht="30" x14ac:dyDescent="0.25">
      <c r="A45" s="435" t="s">
        <v>404</v>
      </c>
      <c r="B45" s="435" t="s">
        <v>404</v>
      </c>
      <c r="C45" s="106">
        <v>28</v>
      </c>
      <c r="D45" s="106">
        <v>41975</v>
      </c>
      <c r="E45" s="106">
        <v>10865</v>
      </c>
      <c r="F45" s="106">
        <v>1.77E-2</v>
      </c>
      <c r="G45" s="106">
        <v>4.5999999999999999E-3</v>
      </c>
      <c r="H45" t="s">
        <v>405</v>
      </c>
      <c r="I45" t="s">
        <v>396</v>
      </c>
      <c r="J45" s="107">
        <f>D54</f>
        <v>225753999</v>
      </c>
      <c r="K45" s="108">
        <f>D53</f>
        <v>10003110</v>
      </c>
      <c r="L45" s="109">
        <f>D55</f>
        <v>1578238</v>
      </c>
      <c r="M45" s="105">
        <f>SUM(J45:L45)</f>
        <v>237335347</v>
      </c>
      <c r="N45" s="214" t="s">
        <v>406</v>
      </c>
      <c r="P45" s="110">
        <f>L45</f>
        <v>1578238</v>
      </c>
      <c r="Q45" s="111">
        <f>L46</f>
        <v>17866</v>
      </c>
      <c r="R45" s="112">
        <f>SUM(J47:L47)</f>
        <v>216329</v>
      </c>
      <c r="S45" s="113">
        <f>K45</f>
        <v>10003110</v>
      </c>
      <c r="T45" s="114">
        <f>SUM(J46:K46)</f>
        <v>112467</v>
      </c>
      <c r="U45" s="115">
        <f>J45</f>
        <v>225753999</v>
      </c>
      <c r="Z45" s="235"/>
      <c r="AA45" s="235"/>
    </row>
    <row r="46" spans="1:44" x14ac:dyDescent="0.25">
      <c r="A46" s="435"/>
      <c r="B46" s="435" t="s">
        <v>396</v>
      </c>
      <c r="C46" s="106">
        <v>34</v>
      </c>
      <c r="D46" s="106">
        <v>70492</v>
      </c>
      <c r="E46" s="106">
        <v>19193</v>
      </c>
      <c r="F46" s="106">
        <v>2.9700000000000001E-2</v>
      </c>
      <c r="G46" s="106">
        <v>8.0000000000000002E-3</v>
      </c>
      <c r="I46" t="s">
        <v>397</v>
      </c>
      <c r="J46" s="116">
        <f>D46</f>
        <v>70492</v>
      </c>
      <c r="K46" s="117">
        <f>D45</f>
        <v>41975</v>
      </c>
      <c r="L46" s="118">
        <f>D47</f>
        <v>17866</v>
      </c>
      <c r="M46" s="105">
        <f t="shared" ref="M46:M47" si="11">SUM(J46:L46)</f>
        <v>130333</v>
      </c>
      <c r="N46">
        <f>K46/(K46+J46)</f>
        <v>0.37322058915059531</v>
      </c>
      <c r="Z46" s="235"/>
      <c r="AA46" s="235"/>
    </row>
    <row r="47" spans="1:44" ht="15.75" thickBot="1" x14ac:dyDescent="0.3">
      <c r="A47" s="435"/>
      <c r="B47" s="435" t="s">
        <v>407</v>
      </c>
      <c r="C47" s="106">
        <v>14</v>
      </c>
      <c r="D47" s="106">
        <v>17866</v>
      </c>
      <c r="E47" s="106">
        <v>6476</v>
      </c>
      <c r="F47" s="106">
        <v>7.4999999999999997E-3</v>
      </c>
      <c r="G47" s="106">
        <v>2.7000000000000001E-3</v>
      </c>
      <c r="I47" t="s">
        <v>408</v>
      </c>
      <c r="J47" s="119">
        <f>D50</f>
        <v>109307</v>
      </c>
      <c r="K47" s="120">
        <f>D49</f>
        <v>40401</v>
      </c>
      <c r="L47" s="121">
        <f>D51</f>
        <v>66621</v>
      </c>
      <c r="M47" s="105">
        <f t="shared" si="11"/>
        <v>216329</v>
      </c>
      <c r="Z47" s="235"/>
      <c r="AA47" s="235"/>
    </row>
    <row r="48" spans="1:44" x14ac:dyDescent="0.25">
      <c r="A48" s="435"/>
      <c r="B48" s="435" t="s">
        <v>192</v>
      </c>
      <c r="C48" s="106">
        <v>76</v>
      </c>
      <c r="D48" s="106">
        <v>130333</v>
      </c>
      <c r="E48" s="106">
        <v>22543</v>
      </c>
      <c r="F48" s="106">
        <v>5.4800000000000001E-2</v>
      </c>
      <c r="G48" s="106">
        <v>9.4000000000000004E-3</v>
      </c>
      <c r="J48" s="85">
        <f>SUM(J45:J47)</f>
        <v>225933798</v>
      </c>
      <c r="K48" s="85">
        <f>SUM(K45:K47)</f>
        <v>10085486</v>
      </c>
      <c r="L48" s="85">
        <f>SUM(L45:L47)</f>
        <v>1662725</v>
      </c>
      <c r="Z48" s="235"/>
      <c r="AA48" s="235"/>
    </row>
    <row r="49" spans="1:43" x14ac:dyDescent="0.25">
      <c r="A49" s="435" t="s">
        <v>401</v>
      </c>
      <c r="B49" s="435" t="s">
        <v>404</v>
      </c>
      <c r="C49" s="106">
        <v>14</v>
      </c>
      <c r="D49" s="106">
        <v>40401</v>
      </c>
      <c r="E49" s="106">
        <v>20785</v>
      </c>
      <c r="F49" s="106">
        <v>1.7000000000000001E-2</v>
      </c>
      <c r="G49" s="106">
        <v>8.8000000000000005E-3</v>
      </c>
      <c r="J49">
        <f>J47/(J47+K47+L47)</f>
        <v>0.50528130763790335</v>
      </c>
      <c r="K49">
        <f>K47/(K47+J47+L47)</f>
        <v>0.18675720777149618</v>
      </c>
      <c r="L49">
        <f>L47/(K47+L47+J47)</f>
        <v>0.30796148459060041</v>
      </c>
      <c r="Z49" s="235"/>
    </row>
    <row r="50" spans="1:43" x14ac:dyDescent="0.25">
      <c r="A50" s="435"/>
      <c r="B50" s="435" t="s">
        <v>396</v>
      </c>
      <c r="C50" s="106">
        <v>26</v>
      </c>
      <c r="D50" s="106">
        <v>109307</v>
      </c>
      <c r="E50" s="106">
        <v>27970</v>
      </c>
      <c r="F50" s="106">
        <v>4.5999999999999999E-2</v>
      </c>
      <c r="G50" s="106">
        <v>1.18E-2</v>
      </c>
    </row>
    <row r="51" spans="1:43" x14ac:dyDescent="0.25">
      <c r="A51" s="435"/>
      <c r="B51" s="435" t="s">
        <v>407</v>
      </c>
      <c r="C51" s="106">
        <v>21</v>
      </c>
      <c r="D51" s="106">
        <v>66621</v>
      </c>
      <c r="E51" s="106">
        <v>22671</v>
      </c>
      <c r="F51" s="106">
        <v>2.8000000000000001E-2</v>
      </c>
      <c r="G51" s="106">
        <v>9.5999999999999992E-3</v>
      </c>
      <c r="J51">
        <f>J46/(J46+K46)</f>
        <v>0.62677941084940469</v>
      </c>
      <c r="K51">
        <f>K46/(K46+J46)</f>
        <v>0.37322058915059531</v>
      </c>
    </row>
    <row r="52" spans="1:43" x14ac:dyDescent="0.25">
      <c r="A52" s="435"/>
      <c r="B52" s="435" t="s">
        <v>192</v>
      </c>
      <c r="C52" s="106">
        <v>61</v>
      </c>
      <c r="D52" s="106">
        <v>216329</v>
      </c>
      <c r="E52" s="106">
        <v>48471</v>
      </c>
      <c r="F52" s="106">
        <v>9.0999999999999998E-2</v>
      </c>
      <c r="G52" s="106">
        <v>2.0500000000000001E-2</v>
      </c>
    </row>
    <row r="53" spans="1:43" x14ac:dyDescent="0.25">
      <c r="A53" s="435" t="s">
        <v>396</v>
      </c>
      <c r="B53" s="435" t="s">
        <v>404</v>
      </c>
      <c r="C53" s="106">
        <v>3608</v>
      </c>
      <c r="D53" s="106">
        <v>10003110</v>
      </c>
      <c r="E53" s="106">
        <v>306323</v>
      </c>
      <c r="F53" s="106">
        <v>4.2085999999999997</v>
      </c>
      <c r="G53" s="106">
        <v>0.12959999999999999</v>
      </c>
    </row>
    <row r="54" spans="1:43" x14ac:dyDescent="0.25">
      <c r="A54" s="435"/>
      <c r="B54" s="435" t="s">
        <v>396</v>
      </c>
      <c r="C54" s="106">
        <v>50883</v>
      </c>
      <c r="D54" s="106">
        <v>225753999</v>
      </c>
      <c r="E54" s="106">
        <v>2346756</v>
      </c>
      <c r="F54" s="106">
        <v>94.981499999999997</v>
      </c>
      <c r="G54" s="106">
        <v>0.14099999999999999</v>
      </c>
    </row>
    <row r="55" spans="1:43" x14ac:dyDescent="0.25">
      <c r="A55" s="435"/>
      <c r="B55" s="435" t="s">
        <v>407</v>
      </c>
      <c r="C55" s="106">
        <v>602</v>
      </c>
      <c r="D55" s="106">
        <v>1578238</v>
      </c>
      <c r="E55" s="106">
        <v>106465</v>
      </c>
      <c r="F55" s="106">
        <v>0.66400000000000003</v>
      </c>
      <c r="G55" s="106">
        <v>4.5199999999999997E-2</v>
      </c>
      <c r="AA55">
        <v>2002</v>
      </c>
      <c r="AB55">
        <v>2003</v>
      </c>
      <c r="AC55">
        <v>2004</v>
      </c>
      <c r="AD55">
        <v>2005</v>
      </c>
      <c r="AE55">
        <v>2006</v>
      </c>
      <c r="AF55">
        <v>2007</v>
      </c>
      <c r="AG55">
        <v>2008</v>
      </c>
      <c r="AH55">
        <v>2009</v>
      </c>
      <c r="AI55">
        <v>2010</v>
      </c>
      <c r="AJ55">
        <v>2011</v>
      </c>
      <c r="AK55">
        <v>2012</v>
      </c>
      <c r="AL55">
        <v>2013</v>
      </c>
      <c r="AM55">
        <v>2014</v>
      </c>
      <c r="AN55">
        <v>2015</v>
      </c>
      <c r="AO55">
        <v>2016</v>
      </c>
      <c r="AP55">
        <v>2017</v>
      </c>
      <c r="AQ55">
        <v>2018</v>
      </c>
    </row>
    <row r="56" spans="1:43" x14ac:dyDescent="0.25">
      <c r="A56" s="435"/>
      <c r="B56" s="435" t="s">
        <v>192</v>
      </c>
      <c r="C56" s="106">
        <v>55093</v>
      </c>
      <c r="D56" s="106">
        <v>237335347</v>
      </c>
      <c r="E56" s="106">
        <v>2370049</v>
      </c>
      <c r="F56" s="106">
        <v>99.854100000000003</v>
      </c>
      <c r="G56" s="106">
        <v>2.18E-2</v>
      </c>
      <c r="Z56" t="s">
        <v>414</v>
      </c>
      <c r="AA56" s="105">
        <f>$K$25</f>
        <v>79412</v>
      </c>
      <c r="AB56" s="105">
        <f>$K$46</f>
        <v>41975</v>
      </c>
      <c r="AC56" s="105">
        <f>$K$67</f>
        <v>49995</v>
      </c>
      <c r="AD56" s="105">
        <f>$K$88</f>
        <v>70230</v>
      </c>
      <c r="AE56" s="105">
        <f>$K$109</f>
        <v>114557</v>
      </c>
      <c r="AF56" s="105">
        <f>$K$130</f>
        <v>74444</v>
      </c>
      <c r="AG56" s="105">
        <f>$K$151</f>
        <v>59619</v>
      </c>
      <c r="AH56" s="105">
        <f>$K$172</f>
        <v>145500</v>
      </c>
      <c r="AI56" s="105">
        <f>$K$193</f>
        <v>69489</v>
      </c>
      <c r="AJ56" s="105">
        <f>$K$214</f>
        <v>63488</v>
      </c>
      <c r="AK56" s="105">
        <f>$K$235</f>
        <v>64540</v>
      </c>
      <c r="AL56" s="105">
        <f>$K$256</f>
        <v>111182</v>
      </c>
      <c r="AM56" s="105">
        <f>$K$277</f>
        <v>127596</v>
      </c>
      <c r="AN56" s="105">
        <f>$K$298</f>
        <v>108426</v>
      </c>
      <c r="AO56" s="105">
        <f>$K$319</f>
        <v>97052</v>
      </c>
      <c r="AP56" s="105">
        <f>$K$340</f>
        <v>135309</v>
      </c>
      <c r="AQ56" s="105">
        <f>$K$361</f>
        <v>101609</v>
      </c>
    </row>
    <row r="57" spans="1:43" x14ac:dyDescent="0.25">
      <c r="A57" s="435" t="s">
        <v>192</v>
      </c>
      <c r="B57" s="435" t="s">
        <v>404</v>
      </c>
      <c r="C57" s="106">
        <v>3650</v>
      </c>
      <c r="D57" s="106">
        <v>10085486</v>
      </c>
      <c r="E57" s="106">
        <v>307565</v>
      </c>
      <c r="F57" s="106">
        <v>4.2432999999999996</v>
      </c>
      <c r="G57" s="106">
        <v>0.13039999999999999</v>
      </c>
      <c r="Z57" t="s">
        <v>415</v>
      </c>
      <c r="AA57" s="105">
        <f>$J25</f>
        <v>65549</v>
      </c>
      <c r="AB57" s="105">
        <f>$J$46</f>
        <v>70492</v>
      </c>
      <c r="AC57" s="105">
        <f>$J$67</f>
        <v>77742</v>
      </c>
      <c r="AD57" s="105">
        <f>$J$88</f>
        <v>73743</v>
      </c>
      <c r="AE57" s="105">
        <f>$J$109</f>
        <v>83625</v>
      </c>
      <c r="AF57" s="105">
        <f>$J$130</f>
        <v>28718</v>
      </c>
      <c r="AG57" s="105">
        <f>$J$151</f>
        <v>80877</v>
      </c>
      <c r="AH57" s="105">
        <f>$J$172</f>
        <v>69466</v>
      </c>
      <c r="AI57" s="105">
        <f>$J$193</f>
        <v>76672</v>
      </c>
      <c r="AJ57" s="105">
        <f>$J$214</f>
        <v>71338</v>
      </c>
      <c r="AK57" s="105">
        <f>$J$235</f>
        <v>68774</v>
      </c>
      <c r="AL57" s="105">
        <f>$J$256</f>
        <v>47634</v>
      </c>
      <c r="AM57" s="105">
        <f>$J$277</f>
        <v>152802</v>
      </c>
      <c r="AN57" s="105">
        <f>$J$298</f>
        <v>75212</v>
      </c>
      <c r="AO57" s="105">
        <f>$J$319</f>
        <v>179323</v>
      </c>
      <c r="AP57" s="105">
        <f>$J$340</f>
        <v>123528</v>
      </c>
      <c r="AQ57" s="105">
        <f>$J$361</f>
        <v>158278</v>
      </c>
    </row>
    <row r="58" spans="1:43" x14ac:dyDescent="0.25">
      <c r="A58" s="435"/>
      <c r="B58" s="435" t="s">
        <v>396</v>
      </c>
      <c r="C58" s="106">
        <v>50943</v>
      </c>
      <c r="D58" s="106">
        <v>225933798</v>
      </c>
      <c r="E58" s="106">
        <v>2348141</v>
      </c>
      <c r="F58" s="106">
        <v>95.057199999999995</v>
      </c>
      <c r="G58" s="106">
        <v>0.14099999999999999</v>
      </c>
      <c r="Z58" t="s">
        <v>416</v>
      </c>
      <c r="AA58" s="105">
        <f>SUM($K26:$L26)</f>
        <v>134516</v>
      </c>
      <c r="AB58" s="105">
        <f>SUM($K47:$L47)</f>
        <v>107022</v>
      </c>
      <c r="AC58" s="105">
        <f>SUM($K68:$L68)</f>
        <v>136253</v>
      </c>
      <c r="AD58" s="105">
        <f>SUM($K89:$L89)</f>
        <v>156677</v>
      </c>
      <c r="AE58" s="105">
        <f>SUM($K110:$L110)</f>
        <v>224422</v>
      </c>
      <c r="AF58" s="105">
        <f>SUM($K131:$L131)</f>
        <v>185160</v>
      </c>
      <c r="AG58" s="105">
        <f>SUM($K152:$L152)</f>
        <v>246465</v>
      </c>
      <c r="AH58" s="105">
        <f>SUM($K173:$L173)</f>
        <v>279956</v>
      </c>
      <c r="AI58" s="105">
        <f>SUM($K194:$L194)</f>
        <v>300354</v>
      </c>
      <c r="AJ58" s="105">
        <f>SUM($K215:$L215)</f>
        <v>365347</v>
      </c>
      <c r="AK58" s="105">
        <f>SUM($K236:$L236)</f>
        <v>390612</v>
      </c>
      <c r="AL58" s="105">
        <f>SUM($K257:$L257)</f>
        <v>425545</v>
      </c>
      <c r="AM58" s="105">
        <f>SUM($K278:$L278)</f>
        <v>413029</v>
      </c>
      <c r="AN58" s="105">
        <f>SUM($K299:$L299)</f>
        <v>453323</v>
      </c>
      <c r="AO58" s="105">
        <f>SUM($K320:$L320)</f>
        <v>493978</v>
      </c>
      <c r="AP58" s="105">
        <f>SUM($K341:$L341)</f>
        <v>448072</v>
      </c>
      <c r="AQ58" s="105">
        <f>SUM($K362:$L362)</f>
        <v>415957</v>
      </c>
    </row>
    <row r="59" spans="1:43" x14ac:dyDescent="0.25">
      <c r="A59" s="435"/>
      <c r="B59" s="435" t="s">
        <v>407</v>
      </c>
      <c r="C59" s="106">
        <v>637</v>
      </c>
      <c r="D59" s="106">
        <v>1662725</v>
      </c>
      <c r="E59" s="106">
        <v>115831</v>
      </c>
      <c r="F59" s="106">
        <v>0.6996</v>
      </c>
      <c r="G59" s="106">
        <v>4.9299999999999997E-2</v>
      </c>
      <c r="Z59" t="s">
        <v>417</v>
      </c>
      <c r="AA59" s="105">
        <f>$J26</f>
        <v>111268</v>
      </c>
      <c r="AB59" s="105">
        <f>$J$47</f>
        <v>109307</v>
      </c>
      <c r="AC59" s="105">
        <f>$J$68</f>
        <v>147437</v>
      </c>
      <c r="AD59" s="105">
        <f>$J$89</f>
        <v>77569</v>
      </c>
      <c r="AE59" s="105">
        <f>$J$110</f>
        <v>95510</v>
      </c>
      <c r="AF59" s="105">
        <f>$J$131</f>
        <v>63108</v>
      </c>
      <c r="AG59" s="105">
        <f>$J$152</f>
        <v>82882</v>
      </c>
      <c r="AH59" s="105">
        <f>$J$173</f>
        <v>143286</v>
      </c>
      <c r="AI59" s="105">
        <f>$J$194</f>
        <v>128933</v>
      </c>
      <c r="AJ59" s="105">
        <f>$J$215</f>
        <v>145969</v>
      </c>
      <c r="AK59" s="105">
        <f>$J$236</f>
        <v>112724</v>
      </c>
      <c r="AL59" s="105">
        <f>$J$257</f>
        <v>110335</v>
      </c>
      <c r="AM59" s="105">
        <f>$J$278</f>
        <v>209402</v>
      </c>
      <c r="AN59" s="105">
        <f>$J$299</f>
        <v>165044</v>
      </c>
      <c r="AO59" s="105">
        <f>$J$320</f>
        <v>152568</v>
      </c>
      <c r="AP59" s="105">
        <f>$J$341</f>
        <v>257051</v>
      </c>
      <c r="AQ59" s="105">
        <f>$J$362</f>
        <v>176672</v>
      </c>
    </row>
    <row r="60" spans="1:43" x14ac:dyDescent="0.25">
      <c r="A60" s="435"/>
      <c r="B60" s="435" t="s">
        <v>192</v>
      </c>
      <c r="C60" s="106">
        <v>55230</v>
      </c>
      <c r="D60" s="106">
        <v>237682009</v>
      </c>
      <c r="E60" s="106">
        <v>2367238</v>
      </c>
      <c r="F60" s="106">
        <v>100</v>
      </c>
      <c r="G60" s="106"/>
      <c r="Z60" t="s">
        <v>418</v>
      </c>
      <c r="AA60">
        <f>AA56/SUM(AA56:AA57)</f>
        <v>0.54781630921420243</v>
      </c>
      <c r="AB60">
        <f t="shared" ref="AB60:AQ60" si="12">AB56/SUM(AB56:AB57)</f>
        <v>0.37322058915059531</v>
      </c>
      <c r="AC60">
        <f t="shared" si="12"/>
        <v>0.39139012189107308</v>
      </c>
      <c r="AD60">
        <f t="shared" si="12"/>
        <v>0.4877997957950449</v>
      </c>
      <c r="AE60">
        <f t="shared" si="12"/>
        <v>0.57803937794552485</v>
      </c>
      <c r="AF60">
        <f t="shared" si="12"/>
        <v>0.72162230278590955</v>
      </c>
      <c r="AG60">
        <f t="shared" si="12"/>
        <v>0.42434660061496415</v>
      </c>
      <c r="AH60">
        <f t="shared" si="12"/>
        <v>0.67685122298409983</v>
      </c>
      <c r="AI60">
        <f t="shared" si="12"/>
        <v>0.47542778169279082</v>
      </c>
      <c r="AJ60">
        <f t="shared" si="12"/>
        <v>0.47088840431370804</v>
      </c>
      <c r="AK60">
        <f t="shared" si="12"/>
        <v>0.48412019742862716</v>
      </c>
      <c r="AL60">
        <f t="shared" si="12"/>
        <v>0.70006800322385654</v>
      </c>
      <c r="AM60">
        <f t="shared" si="12"/>
        <v>0.45505317441636534</v>
      </c>
      <c r="AN60">
        <f t="shared" si="12"/>
        <v>0.59043335257408602</v>
      </c>
      <c r="AO60">
        <f t="shared" si="12"/>
        <v>0.35116056083220265</v>
      </c>
      <c r="AP60">
        <f t="shared" si="12"/>
        <v>0.52275756557215547</v>
      </c>
      <c r="AQ60">
        <f t="shared" si="12"/>
        <v>0.39097376936899497</v>
      </c>
    </row>
    <row r="61" spans="1:43" x14ac:dyDescent="0.25">
      <c r="A61" s="122"/>
      <c r="Z61" t="s">
        <v>419</v>
      </c>
      <c r="AA61">
        <f>AA58/SUM(AA58:AA59)</f>
        <v>0.5472935585717541</v>
      </c>
      <c r="AB61">
        <f t="shared" ref="AB61:AQ61" si="13">AB58/SUM(AB58:AB59)</f>
        <v>0.49471869236209665</v>
      </c>
      <c r="AC61">
        <f t="shared" si="13"/>
        <v>0.48028834290951389</v>
      </c>
      <c r="AD61">
        <f t="shared" si="13"/>
        <v>0.66885667204562727</v>
      </c>
      <c r="AE61">
        <f t="shared" si="13"/>
        <v>0.70146781191003094</v>
      </c>
      <c r="AF61">
        <f t="shared" si="13"/>
        <v>0.74580695055343416</v>
      </c>
      <c r="AG61">
        <f t="shared" si="13"/>
        <v>0.74834445129301319</v>
      </c>
      <c r="AH61">
        <f t="shared" si="13"/>
        <v>0.6614560936769035</v>
      </c>
      <c r="AI61">
        <f t="shared" si="13"/>
        <v>0.69965780468544359</v>
      </c>
      <c r="AJ61">
        <f t="shared" si="13"/>
        <v>0.71452291733487705</v>
      </c>
      <c r="AK61">
        <f t="shared" si="13"/>
        <v>0.7760462196226775</v>
      </c>
      <c r="AL61">
        <f t="shared" si="13"/>
        <v>0.79410502351272672</v>
      </c>
      <c r="AM61">
        <f t="shared" si="13"/>
        <v>0.6635739543820921</v>
      </c>
      <c r="AN61">
        <f t="shared" si="13"/>
        <v>0.73309701196862054</v>
      </c>
      <c r="AO61">
        <f t="shared" si="13"/>
        <v>0.7640260708441472</v>
      </c>
      <c r="AP61">
        <f t="shared" si="13"/>
        <v>0.63545225442936903</v>
      </c>
      <c r="AQ61">
        <f t="shared" si="13"/>
        <v>0.70188431548236752</v>
      </c>
    </row>
    <row r="62" spans="1:43" x14ac:dyDescent="0.25">
      <c r="A62" s="605" t="s">
        <v>385</v>
      </c>
      <c r="B62" s="605"/>
      <c r="C62" s="605"/>
      <c r="D62" s="605"/>
      <c r="E62" s="605"/>
      <c r="F62" s="605"/>
      <c r="G62" s="605"/>
    </row>
    <row r="63" spans="1:43" x14ac:dyDescent="0.25">
      <c r="A63" s="605" t="s">
        <v>420</v>
      </c>
      <c r="B63" s="605"/>
      <c r="C63" s="605"/>
      <c r="D63" s="605"/>
      <c r="E63" s="605"/>
      <c r="F63" s="605"/>
      <c r="G63" s="605"/>
    </row>
    <row r="64" spans="1:43" x14ac:dyDescent="0.25">
      <c r="A64" s="605" t="s">
        <v>388</v>
      </c>
      <c r="B64" s="605" t="s">
        <v>389</v>
      </c>
      <c r="C64" s="605" t="s">
        <v>390</v>
      </c>
      <c r="D64" s="435" t="s">
        <v>391</v>
      </c>
      <c r="E64" s="435" t="s">
        <v>392</v>
      </c>
      <c r="F64" s="605" t="s">
        <v>393</v>
      </c>
      <c r="G64" s="435" t="s">
        <v>392</v>
      </c>
      <c r="J64" t="s">
        <v>394</v>
      </c>
    </row>
    <row r="65" spans="1:57" ht="30.75" thickBot="1" x14ac:dyDescent="0.3">
      <c r="A65" s="605"/>
      <c r="B65" s="605"/>
      <c r="C65" s="605"/>
      <c r="D65" s="435" t="s">
        <v>390</v>
      </c>
      <c r="E65" s="435" t="s">
        <v>395</v>
      </c>
      <c r="F65" s="605"/>
      <c r="G65" s="435" t="s">
        <v>393</v>
      </c>
      <c r="I65">
        <v>2004</v>
      </c>
      <c r="J65" t="s">
        <v>396</v>
      </c>
      <c r="K65" t="s">
        <v>397</v>
      </c>
      <c r="L65" t="s">
        <v>398</v>
      </c>
      <c r="P65" s="48" t="s">
        <v>399</v>
      </c>
      <c r="Q65" s="48" t="s">
        <v>400</v>
      </c>
      <c r="R65" s="48" t="s">
        <v>401</v>
      </c>
      <c r="S65" t="s">
        <v>402</v>
      </c>
      <c r="T65" s="48" t="s">
        <v>403</v>
      </c>
      <c r="U65" s="48" t="s">
        <v>396</v>
      </c>
      <c r="W65" s="208"/>
      <c r="X65" s="208"/>
      <c r="Y65" s="208"/>
      <c r="Z65" s="208"/>
      <c r="AA65" s="208"/>
      <c r="AB65" s="208"/>
      <c r="AC65" s="208"/>
      <c r="AD65" s="208"/>
      <c r="AE65" s="208"/>
      <c r="AF65" s="208"/>
      <c r="AS65" s="22" t="s">
        <v>492</v>
      </c>
    </row>
    <row r="66" spans="1:57" ht="30" x14ac:dyDescent="0.25">
      <c r="A66" s="435" t="s">
        <v>404</v>
      </c>
      <c r="B66" s="435" t="s">
        <v>404</v>
      </c>
      <c r="C66" s="106">
        <v>32</v>
      </c>
      <c r="D66" s="106">
        <v>49995</v>
      </c>
      <c r="E66" s="106">
        <v>11544</v>
      </c>
      <c r="F66" s="106">
        <v>2.0799999999999999E-2</v>
      </c>
      <c r="G66" s="106">
        <v>4.7999999999999996E-3</v>
      </c>
      <c r="H66" t="s">
        <v>405</v>
      </c>
      <c r="I66" t="s">
        <v>396</v>
      </c>
      <c r="J66" s="107">
        <f>D75</f>
        <v>228869900</v>
      </c>
      <c r="K66" s="108">
        <f>D74</f>
        <v>9389311</v>
      </c>
      <c r="L66" s="109">
        <f>D76</f>
        <v>1806262</v>
      </c>
      <c r="M66" s="105">
        <f>SUM(J66:L66)</f>
        <v>240065473</v>
      </c>
      <c r="N66" s="214" t="s">
        <v>406</v>
      </c>
      <c r="P66" s="110">
        <f>L66</f>
        <v>1806262</v>
      </c>
      <c r="Q66" s="111">
        <f>L67</f>
        <v>37915</v>
      </c>
      <c r="R66" s="112">
        <f>SUM(J68:L68)</f>
        <v>283690</v>
      </c>
      <c r="S66" s="113">
        <f>K66</f>
        <v>9389311</v>
      </c>
      <c r="T66" s="114">
        <f>SUM(J67:K67)</f>
        <v>127737</v>
      </c>
      <c r="U66" s="115">
        <f>J66</f>
        <v>228869900</v>
      </c>
      <c r="W66" s="208"/>
      <c r="X66" s="208">
        <v>1999</v>
      </c>
      <c r="Y66" s="208">
        <v>2000</v>
      </c>
      <c r="Z66" s="208">
        <v>2001</v>
      </c>
      <c r="AA66" s="208">
        <v>2002</v>
      </c>
      <c r="AB66" s="208">
        <v>2003</v>
      </c>
      <c r="AC66" s="208">
        <v>2004</v>
      </c>
      <c r="AD66" s="208">
        <v>2005</v>
      </c>
      <c r="AE66" s="208">
        <v>2006</v>
      </c>
      <c r="AF66" s="208">
        <v>2007</v>
      </c>
      <c r="AG66" s="208">
        <v>2008</v>
      </c>
      <c r="AH66" s="208">
        <v>2009</v>
      </c>
      <c r="AI66" s="208">
        <v>2010</v>
      </c>
      <c r="AJ66" s="208">
        <v>2011</v>
      </c>
      <c r="AK66" s="208">
        <v>2012</v>
      </c>
      <c r="AL66" s="208">
        <v>2013</v>
      </c>
      <c r="AM66" s="208">
        <v>2014</v>
      </c>
      <c r="AN66" s="208">
        <v>2015</v>
      </c>
      <c r="AO66" s="208">
        <v>2016</v>
      </c>
      <c r="AP66" s="208">
        <v>2017</v>
      </c>
      <c r="AQ66" s="208">
        <v>2018</v>
      </c>
      <c r="AR66" s="208">
        <v>2019</v>
      </c>
      <c r="AS66" s="208">
        <v>2020</v>
      </c>
      <c r="AT66" s="208">
        <v>2021</v>
      </c>
      <c r="AU66" s="208">
        <v>2022</v>
      </c>
      <c r="AV66" s="208">
        <v>2023</v>
      </c>
      <c r="AW66" s="208">
        <v>2024</v>
      </c>
      <c r="AX66" s="208">
        <v>2025</v>
      </c>
      <c r="AY66" s="208">
        <v>2026</v>
      </c>
      <c r="AZ66" s="208">
        <v>2027</v>
      </c>
      <c r="BA66" s="208">
        <v>2028</v>
      </c>
      <c r="BB66" s="208">
        <v>2029</v>
      </c>
      <c r="BC66" s="208">
        <v>2030</v>
      </c>
      <c r="BD66" s="208">
        <v>2031</v>
      </c>
      <c r="BE66" s="208">
        <v>2032</v>
      </c>
    </row>
    <row r="67" spans="1:57" ht="45" x14ac:dyDescent="0.25">
      <c r="A67" s="435"/>
      <c r="B67" s="435" t="s">
        <v>396</v>
      </c>
      <c r="C67" s="106">
        <v>24</v>
      </c>
      <c r="D67" s="106">
        <v>77742</v>
      </c>
      <c r="E67" s="106">
        <v>32101</v>
      </c>
      <c r="F67" s="106">
        <v>3.2300000000000002E-2</v>
      </c>
      <c r="G67" s="106">
        <v>1.3299999999999999E-2</v>
      </c>
      <c r="I67" t="s">
        <v>397</v>
      </c>
      <c r="J67" s="116">
        <f>D67</f>
        <v>77742</v>
      </c>
      <c r="K67" s="117">
        <f>D66</f>
        <v>49995</v>
      </c>
      <c r="L67" s="118">
        <f>D68</f>
        <v>37915</v>
      </c>
      <c r="M67" s="105">
        <f t="shared" ref="M67:M68" si="14">SUM(J67:L67)</f>
        <v>165652</v>
      </c>
      <c r="N67">
        <f>K67/(K67+J67)</f>
        <v>0.39139012189107308</v>
      </c>
      <c r="W67" s="208" t="s">
        <v>421</v>
      </c>
      <c r="X67" s="437">
        <v>221122575</v>
      </c>
      <c r="Y67" s="437">
        <v>223279598</v>
      </c>
      <c r="Z67" s="437">
        <v>225635789</v>
      </c>
      <c r="AA67" s="437">
        <v>235143245</v>
      </c>
      <c r="AB67" s="437">
        <v>237682009</v>
      </c>
      <c r="AC67" s="437">
        <v>240514815</v>
      </c>
      <c r="AD67" s="437">
        <v>243220283</v>
      </c>
      <c r="AE67" s="437">
        <v>246021656</v>
      </c>
      <c r="AF67" s="437">
        <v>247845207</v>
      </c>
      <c r="AG67" s="437">
        <v>249815089</v>
      </c>
      <c r="AH67" s="437">
        <v>251815533</v>
      </c>
      <c r="AI67" s="437">
        <v>253619107</v>
      </c>
      <c r="AJ67" s="437">
        <v>257598944</v>
      </c>
      <c r="AK67" s="437">
        <v>260057325</v>
      </c>
      <c r="AL67" s="437">
        <v>262391455</v>
      </c>
      <c r="AM67" s="437">
        <v>265122864</v>
      </c>
      <c r="AN67" s="437">
        <v>267694489</v>
      </c>
      <c r="AO67" s="437">
        <v>269430135</v>
      </c>
      <c r="AP67" s="437">
        <v>272103335</v>
      </c>
      <c r="AQ67" s="437">
        <v>273753043</v>
      </c>
      <c r="AR67" s="437">
        <v>275221248</v>
      </c>
      <c r="AS67" s="437">
        <v>276911975</v>
      </c>
      <c r="AT67" s="208"/>
      <c r="AU67" s="208"/>
      <c r="AV67" s="208"/>
      <c r="AW67" s="208"/>
      <c r="AX67" s="208"/>
      <c r="AY67" s="208"/>
      <c r="AZ67" s="208"/>
      <c r="BA67" s="208"/>
      <c r="BB67" s="208"/>
      <c r="BC67" s="208"/>
    </row>
    <row r="68" spans="1:57" ht="15.75" thickBot="1" x14ac:dyDescent="0.3">
      <c r="A68" s="435"/>
      <c r="B68" s="435" t="s">
        <v>407</v>
      </c>
      <c r="C68" s="106">
        <v>21</v>
      </c>
      <c r="D68" s="106">
        <v>37915</v>
      </c>
      <c r="E68" s="106">
        <v>10748</v>
      </c>
      <c r="F68" s="106">
        <v>1.5800000000000002E-2</v>
      </c>
      <c r="G68" s="106">
        <v>4.4999999999999997E-3</v>
      </c>
      <c r="I68" t="s">
        <v>408</v>
      </c>
      <c r="J68" s="119">
        <f>D71</f>
        <v>147437</v>
      </c>
      <c r="K68" s="120">
        <f>D70</f>
        <v>83393</v>
      </c>
      <c r="L68" s="121">
        <f>D72</f>
        <v>52860</v>
      </c>
      <c r="M68" s="105">
        <f t="shared" si="14"/>
        <v>283690</v>
      </c>
      <c r="W68" s="519" t="s">
        <v>491</v>
      </c>
      <c r="X68" s="208"/>
      <c r="Y68" s="208"/>
      <c r="Z68" s="208"/>
      <c r="AA68" s="208"/>
      <c r="AB68" s="208"/>
      <c r="AC68" s="208"/>
      <c r="AD68" s="208"/>
      <c r="AE68" s="208"/>
      <c r="AF68" s="208"/>
      <c r="AG68" s="208"/>
      <c r="AH68" s="208"/>
      <c r="AI68" s="208"/>
      <c r="AJ68" s="208"/>
      <c r="AK68" s="208"/>
      <c r="AL68" s="208"/>
      <c r="AM68" s="208"/>
      <c r="AN68" s="208"/>
      <c r="AO68" s="437">
        <v>323128000</v>
      </c>
      <c r="AP68" s="437">
        <v>325511000</v>
      </c>
      <c r="AQ68" s="437">
        <v>327892000</v>
      </c>
      <c r="AR68" s="437">
        <v>330269000</v>
      </c>
      <c r="AS68" s="437">
        <v>332639000</v>
      </c>
      <c r="AT68" s="437">
        <v>334998398</v>
      </c>
      <c r="AU68" s="437">
        <v>337341954</v>
      </c>
      <c r="AV68" s="437">
        <v>339665000</v>
      </c>
      <c r="AW68" s="437">
        <v>341963000</v>
      </c>
      <c r="AX68" s="437">
        <v>344234000</v>
      </c>
      <c r="AY68" s="437">
        <v>346481000</v>
      </c>
      <c r="AZ68" s="437">
        <v>348695000</v>
      </c>
      <c r="BA68" s="437">
        <v>350872000</v>
      </c>
      <c r="BB68" s="437">
        <v>353008000</v>
      </c>
      <c r="BC68" s="437">
        <v>355100730</v>
      </c>
      <c r="BD68" s="437">
        <v>357147329</v>
      </c>
      <c r="BE68" s="437">
        <v>359146709</v>
      </c>
    </row>
    <row r="69" spans="1:57" ht="45" x14ac:dyDescent="0.25">
      <c r="A69" s="435"/>
      <c r="B69" s="435" t="s">
        <v>192</v>
      </c>
      <c r="C69" s="106">
        <v>77</v>
      </c>
      <c r="D69" s="106">
        <v>165652</v>
      </c>
      <c r="E69" s="106">
        <v>32545</v>
      </c>
      <c r="F69" s="106">
        <v>6.8900000000000003E-2</v>
      </c>
      <c r="G69" s="106">
        <v>1.35E-2</v>
      </c>
      <c r="J69" s="85">
        <f>SUM(J66:J68)</f>
        <v>229095079</v>
      </c>
      <c r="K69" s="85">
        <f>SUM(K66:K68)</f>
        <v>9522699</v>
      </c>
      <c r="L69" s="85">
        <f>SUM(L66:L68)</f>
        <v>1897037</v>
      </c>
      <c r="W69" s="519" t="s">
        <v>422</v>
      </c>
      <c r="X69" s="208"/>
      <c r="Y69" s="208"/>
      <c r="Z69" s="208"/>
      <c r="AA69" s="208"/>
      <c r="AB69" s="208"/>
      <c r="AC69" s="208"/>
      <c r="AD69" s="208"/>
      <c r="AE69" s="208"/>
      <c r="AF69" s="208"/>
      <c r="AG69" s="208"/>
      <c r="AH69" s="208"/>
      <c r="AI69" s="208"/>
      <c r="AJ69" s="208"/>
      <c r="AK69" s="208"/>
      <c r="AL69" s="208"/>
      <c r="AM69" s="208"/>
      <c r="AN69" s="208"/>
      <c r="AO69" s="208"/>
      <c r="AP69" s="208"/>
      <c r="AQ69" s="208" t="s">
        <v>423</v>
      </c>
      <c r="AR69" s="208">
        <f>AR67/AR68</f>
        <v>0.83332449609257908</v>
      </c>
      <c r="AS69" s="208"/>
      <c r="AT69" s="208"/>
      <c r="AU69" s="208"/>
      <c r="AV69" s="208"/>
      <c r="AW69" s="208"/>
      <c r="AX69" s="208"/>
      <c r="AY69" s="208"/>
      <c r="AZ69" s="208"/>
      <c r="BA69" s="208"/>
      <c r="BB69" s="208"/>
      <c r="BC69" s="208"/>
    </row>
    <row r="70" spans="1:57" ht="45" x14ac:dyDescent="0.25">
      <c r="A70" s="435" t="s">
        <v>401</v>
      </c>
      <c r="B70" s="435" t="s">
        <v>404</v>
      </c>
      <c r="C70" s="106">
        <v>31</v>
      </c>
      <c r="D70" s="106">
        <v>83393</v>
      </c>
      <c r="E70" s="106">
        <v>23560</v>
      </c>
      <c r="F70" s="106">
        <v>3.4700000000000002E-2</v>
      </c>
      <c r="G70" s="106">
        <v>9.7999999999999997E-3</v>
      </c>
      <c r="J70">
        <f>J68/(J68+K68+L68)</f>
        <v>0.51971165709048606</v>
      </c>
      <c r="K70">
        <f>K68/(K68+J68+L68)</f>
        <v>0.2939581938030949</v>
      </c>
      <c r="L70">
        <f>L68/(K68+L68+J68)</f>
        <v>0.18633014910641899</v>
      </c>
      <c r="W70" s="208" t="s">
        <v>424</v>
      </c>
      <c r="X70" s="208"/>
      <c r="Y70" s="208"/>
      <c r="Z70" s="208"/>
      <c r="AA70" s="208"/>
      <c r="AB70" s="208"/>
      <c r="AC70" s="208"/>
      <c r="AD70" s="208"/>
      <c r="AE70" s="208"/>
      <c r="AF70" s="208"/>
      <c r="AG70" s="208"/>
      <c r="AH70" s="208"/>
      <c r="AI70" s="208"/>
      <c r="AJ70" s="208"/>
      <c r="AK70" s="208"/>
      <c r="AL70" s="208"/>
      <c r="AM70" s="208"/>
      <c r="AN70" s="208"/>
      <c r="AO70" s="208"/>
      <c r="AP70" s="208"/>
      <c r="AQ70" s="208"/>
      <c r="AR70" s="208"/>
      <c r="AS70" s="437">
        <f t="shared" ref="AS70:BE70" si="15">$AR$69*AS68</f>
        <v>277196227.0557394</v>
      </c>
      <c r="AT70" s="437">
        <f t="shared" si="15"/>
        <v>279162371.20517123</v>
      </c>
      <c r="AU70" s="437">
        <f t="shared" si="15"/>
        <v>281115313.82793599</v>
      </c>
      <c r="AV70" s="437">
        <f t="shared" si="15"/>
        <v>283051164.9652859</v>
      </c>
      <c r="AW70" s="437">
        <f t="shared" si="15"/>
        <v>284966144.65730661</v>
      </c>
      <c r="AX70" s="437">
        <f t="shared" si="15"/>
        <v>286858624.58793288</v>
      </c>
      <c r="AY70" s="437">
        <f t="shared" si="15"/>
        <v>288731104.73065287</v>
      </c>
      <c r="AZ70" s="437">
        <f t="shared" si="15"/>
        <v>290576085.16500187</v>
      </c>
      <c r="BA70" s="437">
        <f t="shared" si="15"/>
        <v>292390232.59299541</v>
      </c>
      <c r="BB70" s="437">
        <f t="shared" si="15"/>
        <v>294170213.71664917</v>
      </c>
      <c r="BC70" s="437">
        <f t="shared" si="15"/>
        <v>295914136.88935697</v>
      </c>
      <c r="BD70" s="437">
        <f t="shared" si="15"/>
        <v>297619617.96973556</v>
      </c>
      <c r="BE70" s="437">
        <f t="shared" si="15"/>
        <v>299285750.30073315</v>
      </c>
    </row>
    <row r="71" spans="1:57" x14ac:dyDescent="0.25">
      <c r="A71" s="435"/>
      <c r="B71" s="435" t="s">
        <v>396</v>
      </c>
      <c r="C71" s="106">
        <v>25</v>
      </c>
      <c r="D71" s="106">
        <v>147437</v>
      </c>
      <c r="E71" s="106">
        <v>45344</v>
      </c>
      <c r="F71" s="106">
        <v>6.13E-2</v>
      </c>
      <c r="G71" s="106">
        <v>1.89E-2</v>
      </c>
      <c r="W71" s="208" t="s">
        <v>11</v>
      </c>
      <c r="X71" s="437">
        <f t="shared" ref="X71:AR71" si="16">X67</f>
        <v>221122575</v>
      </c>
      <c r="Y71" s="437">
        <f t="shared" si="16"/>
        <v>223279598</v>
      </c>
      <c r="Z71" s="437">
        <f t="shared" si="16"/>
        <v>225635789</v>
      </c>
      <c r="AA71" s="437">
        <f t="shared" si="16"/>
        <v>235143245</v>
      </c>
      <c r="AB71" s="437">
        <f t="shared" si="16"/>
        <v>237682009</v>
      </c>
      <c r="AC71" s="437">
        <f t="shared" si="16"/>
        <v>240514815</v>
      </c>
      <c r="AD71" s="437">
        <f t="shared" si="16"/>
        <v>243220283</v>
      </c>
      <c r="AE71" s="437">
        <f t="shared" si="16"/>
        <v>246021656</v>
      </c>
      <c r="AF71" s="437">
        <f t="shared" si="16"/>
        <v>247845207</v>
      </c>
      <c r="AG71" s="437">
        <f t="shared" si="16"/>
        <v>249815089</v>
      </c>
      <c r="AH71" s="437">
        <f t="shared" si="16"/>
        <v>251815533</v>
      </c>
      <c r="AI71" s="437">
        <f t="shared" si="16"/>
        <v>253619107</v>
      </c>
      <c r="AJ71" s="437">
        <f t="shared" si="16"/>
        <v>257598944</v>
      </c>
      <c r="AK71" s="437">
        <f t="shared" si="16"/>
        <v>260057325</v>
      </c>
      <c r="AL71" s="437">
        <f t="shared" si="16"/>
        <v>262391455</v>
      </c>
      <c r="AM71" s="437">
        <f t="shared" si="16"/>
        <v>265122864</v>
      </c>
      <c r="AN71" s="437">
        <f t="shared" si="16"/>
        <v>267694489</v>
      </c>
      <c r="AO71" s="437">
        <f t="shared" si="16"/>
        <v>269430135</v>
      </c>
      <c r="AP71" s="437">
        <f t="shared" si="16"/>
        <v>272103335</v>
      </c>
      <c r="AQ71" s="437">
        <f t="shared" si="16"/>
        <v>273753043</v>
      </c>
      <c r="AR71" s="437">
        <f t="shared" si="16"/>
        <v>275221248</v>
      </c>
      <c r="AS71" s="437">
        <f t="shared" ref="AS71:BE71" si="17">AS70</f>
        <v>277196227.0557394</v>
      </c>
      <c r="AT71" s="437">
        <f t="shared" si="17"/>
        <v>279162371.20517123</v>
      </c>
      <c r="AU71" s="437">
        <f t="shared" si="17"/>
        <v>281115313.82793599</v>
      </c>
      <c r="AV71" s="437">
        <f t="shared" si="17"/>
        <v>283051164.9652859</v>
      </c>
      <c r="AW71" s="437">
        <f t="shared" si="17"/>
        <v>284966144.65730661</v>
      </c>
      <c r="AX71" s="437">
        <f t="shared" si="17"/>
        <v>286858624.58793288</v>
      </c>
      <c r="AY71" s="437">
        <f t="shared" si="17"/>
        <v>288731104.73065287</v>
      </c>
      <c r="AZ71" s="437">
        <f t="shared" si="17"/>
        <v>290576085.16500187</v>
      </c>
      <c r="BA71" s="437">
        <f t="shared" si="17"/>
        <v>292390232.59299541</v>
      </c>
      <c r="BB71" s="437">
        <f t="shared" si="17"/>
        <v>294170213.71664917</v>
      </c>
      <c r="BC71" s="437">
        <f t="shared" si="17"/>
        <v>295914136.88935697</v>
      </c>
      <c r="BD71" s="437">
        <f t="shared" si="17"/>
        <v>297619617.96973556</v>
      </c>
      <c r="BE71" s="437">
        <f t="shared" si="17"/>
        <v>299285750.30073315</v>
      </c>
    </row>
    <row r="72" spans="1:57" x14ac:dyDescent="0.25">
      <c r="A72" s="435"/>
      <c r="B72" s="435" t="s">
        <v>407</v>
      </c>
      <c r="C72" s="106">
        <v>26</v>
      </c>
      <c r="D72" s="106">
        <v>52860</v>
      </c>
      <c r="E72" s="106">
        <v>15178</v>
      </c>
      <c r="F72" s="106">
        <v>2.1999999999999999E-2</v>
      </c>
      <c r="G72" s="106">
        <v>6.3E-3</v>
      </c>
      <c r="J72">
        <f>J67/(J67+K67)</f>
        <v>0.60860987810892697</v>
      </c>
      <c r="K72">
        <f>K67/(K67+J67)</f>
        <v>0.39139012189107308</v>
      </c>
      <c r="Z72" s="208"/>
      <c r="AA72" s="208"/>
      <c r="AB72" s="208"/>
      <c r="AC72" s="208"/>
      <c r="AD72" s="208"/>
      <c r="AE72" s="208"/>
      <c r="AF72" s="208"/>
      <c r="AG72" s="208"/>
      <c r="AH72" s="208"/>
      <c r="AI72" s="208"/>
      <c r="AJ72" s="208"/>
    </row>
    <row r="73" spans="1:57" x14ac:dyDescent="0.25">
      <c r="A73" s="435"/>
      <c r="B73" s="435" t="s">
        <v>192</v>
      </c>
      <c r="C73" s="106">
        <v>82</v>
      </c>
      <c r="D73" s="106">
        <v>283690</v>
      </c>
      <c r="E73" s="106">
        <v>50809</v>
      </c>
      <c r="F73" s="106">
        <v>0.11799999999999999</v>
      </c>
      <c r="G73" s="106">
        <v>2.12E-2</v>
      </c>
      <c r="W73" s="445" t="s">
        <v>426</v>
      </c>
      <c r="Z73" s="208"/>
      <c r="AA73" s="208"/>
      <c r="AB73" s="208"/>
      <c r="AC73" s="208"/>
      <c r="AD73" s="208"/>
      <c r="AE73" s="208"/>
      <c r="AF73" s="208"/>
      <c r="AG73" s="208"/>
      <c r="AH73" s="208"/>
      <c r="AI73" s="208"/>
      <c r="AJ73" s="208"/>
    </row>
    <row r="74" spans="1:57" x14ac:dyDescent="0.25">
      <c r="A74" s="435" t="s">
        <v>396</v>
      </c>
      <c r="B74" s="435" t="s">
        <v>404</v>
      </c>
      <c r="C74" s="106">
        <v>3508</v>
      </c>
      <c r="D74" s="106">
        <v>9389311</v>
      </c>
      <c r="E74" s="106">
        <v>307360</v>
      </c>
      <c r="F74" s="106">
        <v>3.9037999999999999</v>
      </c>
      <c r="G74" s="106">
        <v>0.1239</v>
      </c>
      <c r="Z74" s="208"/>
      <c r="AA74" s="208"/>
      <c r="AB74" s="208"/>
      <c r="AC74" s="208"/>
      <c r="AD74" s="208"/>
      <c r="AE74" s="208"/>
      <c r="AF74" s="208"/>
      <c r="AG74" s="208"/>
      <c r="AH74" s="208"/>
      <c r="AI74" s="208"/>
      <c r="AJ74" s="208"/>
      <c r="AR74" s="404">
        <v>328239523</v>
      </c>
    </row>
    <row r="75" spans="1:57" x14ac:dyDescent="0.25">
      <c r="A75" s="435"/>
      <c r="B75" s="435" t="s">
        <v>396</v>
      </c>
      <c r="C75" s="106">
        <v>51203</v>
      </c>
      <c r="D75" s="106">
        <v>228869900</v>
      </c>
      <c r="E75" s="106">
        <v>2293974</v>
      </c>
      <c r="F75" s="106">
        <v>95.158299999999997</v>
      </c>
      <c r="G75" s="106">
        <v>0.13500000000000001</v>
      </c>
      <c r="Z75" s="208"/>
      <c r="AA75" s="208"/>
      <c r="AB75" s="208"/>
      <c r="AC75" s="208"/>
      <c r="AD75" s="208"/>
      <c r="AE75" s="208"/>
      <c r="AF75" s="208"/>
      <c r="AG75" s="208"/>
      <c r="AH75" s="208"/>
      <c r="AI75" s="208"/>
      <c r="AJ75" s="208"/>
    </row>
    <row r="76" spans="1:57" x14ac:dyDescent="0.25">
      <c r="A76" s="435"/>
      <c r="B76" s="435" t="s">
        <v>407</v>
      </c>
      <c r="C76" s="106">
        <v>732</v>
      </c>
      <c r="D76" s="106">
        <v>1806262</v>
      </c>
      <c r="E76" s="106">
        <v>98144</v>
      </c>
      <c r="F76" s="106">
        <v>0.751</v>
      </c>
      <c r="G76" s="106">
        <v>3.9699999999999999E-2</v>
      </c>
      <c r="Z76" s="208"/>
      <c r="AA76" s="208"/>
      <c r="AB76" s="208"/>
      <c r="AC76" s="208"/>
      <c r="AD76" s="208"/>
      <c r="AE76" s="208"/>
      <c r="AF76" s="208"/>
      <c r="AG76" s="208"/>
      <c r="AH76" s="208"/>
      <c r="AI76" s="208"/>
      <c r="AJ76" s="208"/>
    </row>
    <row r="77" spans="1:57" x14ac:dyDescent="0.25">
      <c r="A77" s="435"/>
      <c r="B77" s="435" t="s">
        <v>192</v>
      </c>
      <c r="C77" s="106">
        <v>55443</v>
      </c>
      <c r="D77" s="106">
        <v>240065472</v>
      </c>
      <c r="E77" s="106">
        <v>2372191</v>
      </c>
      <c r="F77" s="106">
        <v>99.813199999999995</v>
      </c>
      <c r="G77" s="106">
        <v>2.5399999999999999E-2</v>
      </c>
      <c r="Z77" s="208"/>
      <c r="AA77" s="208"/>
      <c r="AB77" s="208"/>
      <c r="AC77" s="208"/>
      <c r="AD77" s="208"/>
      <c r="AE77" s="208"/>
      <c r="AF77" s="208"/>
      <c r="AG77" s="208"/>
      <c r="AH77" s="208"/>
      <c r="AI77" s="208"/>
      <c r="AJ77" s="208"/>
    </row>
    <row r="78" spans="1:57" x14ac:dyDescent="0.25">
      <c r="A78" s="435" t="s">
        <v>192</v>
      </c>
      <c r="B78" s="435" t="s">
        <v>404</v>
      </c>
      <c r="C78" s="106">
        <v>3571</v>
      </c>
      <c r="D78" s="106">
        <v>9522699</v>
      </c>
      <c r="E78" s="106">
        <v>308206</v>
      </c>
      <c r="F78" s="106">
        <v>3.9592999999999998</v>
      </c>
      <c r="G78" s="106">
        <v>0.1239</v>
      </c>
      <c r="Z78" s="208"/>
      <c r="AA78" s="208"/>
      <c r="AB78" s="208"/>
      <c r="AC78" s="208"/>
      <c r="AD78" s="208"/>
      <c r="AE78" s="208"/>
      <c r="AF78" s="208"/>
      <c r="AG78" s="208"/>
      <c r="AH78" s="208"/>
      <c r="AI78" s="208"/>
      <c r="AJ78" s="208"/>
    </row>
    <row r="79" spans="1:57" x14ac:dyDescent="0.25">
      <c r="A79" s="435"/>
      <c r="B79" s="435" t="s">
        <v>396</v>
      </c>
      <c r="C79" s="106">
        <v>51252</v>
      </c>
      <c r="D79" s="106">
        <v>229095079</v>
      </c>
      <c r="E79" s="106">
        <v>2290636</v>
      </c>
      <c r="F79" s="106">
        <v>95.251999999999995</v>
      </c>
      <c r="G79" s="106">
        <v>0.1318</v>
      </c>
      <c r="Z79" s="208"/>
      <c r="AA79" s="208"/>
      <c r="AB79" s="208"/>
      <c r="AC79" s="208"/>
      <c r="AD79" s="208"/>
      <c r="AE79" s="208"/>
      <c r="AF79" s="208"/>
      <c r="AG79" s="208"/>
      <c r="AH79" s="208"/>
      <c r="AI79" s="208"/>
      <c r="AJ79" s="208"/>
    </row>
    <row r="80" spans="1:57" x14ac:dyDescent="0.25">
      <c r="A80" s="435"/>
      <c r="B80" s="435" t="s">
        <v>407</v>
      </c>
      <c r="C80" s="106">
        <v>779</v>
      </c>
      <c r="D80" s="106">
        <v>1897036</v>
      </c>
      <c r="E80" s="106">
        <v>101330</v>
      </c>
      <c r="F80" s="106">
        <v>0.78869999999999996</v>
      </c>
      <c r="G80" s="106">
        <v>4.1000000000000002E-2</v>
      </c>
      <c r="Z80" s="208"/>
      <c r="AA80" s="208"/>
      <c r="AB80" s="208"/>
      <c r="AC80" s="208"/>
      <c r="AD80" s="208"/>
      <c r="AE80" s="208"/>
      <c r="AF80" s="208"/>
      <c r="AG80" s="208"/>
      <c r="AH80" s="208"/>
      <c r="AI80" s="208"/>
      <c r="AJ80" s="208"/>
    </row>
    <row r="81" spans="1:36" x14ac:dyDescent="0.25">
      <c r="A81" s="435"/>
      <c r="B81" s="435" t="s">
        <v>192</v>
      </c>
      <c r="C81" s="106">
        <v>55602</v>
      </c>
      <c r="D81" s="106">
        <v>240514815</v>
      </c>
      <c r="E81" s="106">
        <v>2371771</v>
      </c>
      <c r="F81" s="106">
        <v>100</v>
      </c>
      <c r="G81" s="106"/>
      <c r="Z81" s="208"/>
      <c r="AA81" s="208"/>
      <c r="AB81" s="208"/>
      <c r="AC81" s="208"/>
      <c r="AD81" s="208"/>
      <c r="AE81" s="208"/>
      <c r="AF81" s="208"/>
      <c r="AG81" s="208"/>
      <c r="AH81" s="208"/>
      <c r="AI81" s="208"/>
      <c r="AJ81" s="208"/>
    </row>
    <row r="82" spans="1:36" x14ac:dyDescent="0.25">
      <c r="A82" s="122"/>
      <c r="Z82" s="208"/>
      <c r="AA82" s="208"/>
      <c r="AB82" s="208"/>
      <c r="AC82" s="208"/>
      <c r="AD82" s="208"/>
      <c r="AE82" s="208"/>
      <c r="AF82" s="208"/>
      <c r="AG82" s="208"/>
      <c r="AH82" s="208"/>
      <c r="AI82" s="208"/>
      <c r="AJ82" s="208"/>
    </row>
    <row r="83" spans="1:36" x14ac:dyDescent="0.25">
      <c r="A83" s="605" t="s">
        <v>385</v>
      </c>
      <c r="B83" s="605"/>
      <c r="C83" s="605"/>
      <c r="D83" s="605"/>
      <c r="E83" s="605"/>
      <c r="F83" s="605"/>
      <c r="G83" s="605"/>
      <c r="Z83" s="208"/>
      <c r="AA83" s="208"/>
      <c r="AB83" s="208"/>
      <c r="AC83" s="208"/>
      <c r="AD83" s="208"/>
      <c r="AE83" s="208"/>
      <c r="AF83" s="208"/>
      <c r="AG83" s="208"/>
      <c r="AH83" s="208"/>
      <c r="AI83" s="208"/>
      <c r="AJ83" s="208"/>
    </row>
    <row r="84" spans="1:36" x14ac:dyDescent="0.25">
      <c r="A84" s="605" t="s">
        <v>425</v>
      </c>
      <c r="B84" s="605"/>
      <c r="C84" s="605"/>
      <c r="D84" s="605"/>
      <c r="E84" s="605"/>
      <c r="F84" s="605"/>
      <c r="G84" s="605"/>
      <c r="Z84" s="208"/>
      <c r="AA84" s="208"/>
      <c r="AB84" s="208"/>
      <c r="AC84" s="208"/>
      <c r="AD84" s="208"/>
      <c r="AE84" s="208"/>
      <c r="AF84" s="208"/>
      <c r="AG84" s="208"/>
      <c r="AH84" s="208"/>
      <c r="AI84" s="208"/>
      <c r="AJ84" s="208"/>
    </row>
    <row r="85" spans="1:36" x14ac:dyDescent="0.25">
      <c r="A85" s="605" t="s">
        <v>388</v>
      </c>
      <c r="B85" s="605" t="s">
        <v>389</v>
      </c>
      <c r="C85" s="605" t="s">
        <v>390</v>
      </c>
      <c r="D85" s="435" t="s">
        <v>391</v>
      </c>
      <c r="E85" s="435" t="s">
        <v>392</v>
      </c>
      <c r="F85" s="605" t="s">
        <v>393</v>
      </c>
      <c r="G85" s="435" t="s">
        <v>392</v>
      </c>
      <c r="J85" t="s">
        <v>394</v>
      </c>
      <c r="Z85" s="208"/>
      <c r="AA85" s="208"/>
      <c r="AB85" s="208"/>
      <c r="AC85" s="208"/>
      <c r="AD85" s="208"/>
      <c r="AE85" s="208"/>
      <c r="AF85" s="208"/>
      <c r="AG85" s="208"/>
      <c r="AH85" s="208"/>
      <c r="AI85" s="208"/>
      <c r="AJ85" s="208"/>
    </row>
    <row r="86" spans="1:36" ht="30.75" thickBot="1" x14ac:dyDescent="0.3">
      <c r="A86" s="605"/>
      <c r="B86" s="605"/>
      <c r="C86" s="605"/>
      <c r="D86" s="435" t="s">
        <v>390</v>
      </c>
      <c r="E86" s="435" t="s">
        <v>395</v>
      </c>
      <c r="F86" s="605"/>
      <c r="G86" s="435" t="s">
        <v>393</v>
      </c>
      <c r="I86">
        <v>2005</v>
      </c>
      <c r="J86" t="s">
        <v>396</v>
      </c>
      <c r="K86" t="s">
        <v>397</v>
      </c>
      <c r="L86" t="s">
        <v>398</v>
      </c>
      <c r="P86" s="48" t="s">
        <v>399</v>
      </c>
      <c r="Q86" s="48" t="s">
        <v>400</v>
      </c>
      <c r="R86" s="48" t="s">
        <v>401</v>
      </c>
      <c r="S86" t="s">
        <v>402</v>
      </c>
      <c r="T86" s="48" t="s">
        <v>403</v>
      </c>
      <c r="U86" s="48" t="s">
        <v>396</v>
      </c>
      <c r="Z86" s="208"/>
      <c r="AA86" s="208"/>
      <c r="AB86" s="208"/>
      <c r="AC86" s="208"/>
      <c r="AD86" s="208"/>
      <c r="AE86" s="208"/>
      <c r="AF86" s="208"/>
      <c r="AG86" s="208"/>
      <c r="AH86" s="208"/>
      <c r="AI86" s="208"/>
      <c r="AJ86" s="208"/>
    </row>
    <row r="87" spans="1:36" ht="30" x14ac:dyDescent="0.25">
      <c r="A87" s="435" t="s">
        <v>404</v>
      </c>
      <c r="B87" s="435" t="s">
        <v>404</v>
      </c>
      <c r="C87" s="106">
        <v>30</v>
      </c>
      <c r="D87" s="106">
        <v>70230</v>
      </c>
      <c r="E87" s="106">
        <v>19814</v>
      </c>
      <c r="F87" s="106">
        <v>2.8899999999999999E-2</v>
      </c>
      <c r="G87" s="106">
        <v>8.0999999999999996E-3</v>
      </c>
      <c r="H87" t="s">
        <v>405</v>
      </c>
      <c r="I87" t="s">
        <v>396</v>
      </c>
      <c r="J87" s="107">
        <f>D96</f>
        <v>231355077</v>
      </c>
      <c r="K87" s="108">
        <f>D95</f>
        <v>9709431</v>
      </c>
      <c r="L87" s="109">
        <f>D97</f>
        <v>1754593</v>
      </c>
      <c r="M87" s="105">
        <f>SUM(J87:L87)</f>
        <v>242819101</v>
      </c>
      <c r="N87" s="214" t="s">
        <v>406</v>
      </c>
      <c r="P87" s="110">
        <f>L87</f>
        <v>1754593</v>
      </c>
      <c r="Q87" s="111">
        <f>L88</f>
        <v>22963</v>
      </c>
      <c r="R87" s="112">
        <f>SUM(J89:L89)</f>
        <v>234246</v>
      </c>
      <c r="S87" s="113">
        <f>K87</f>
        <v>9709431</v>
      </c>
      <c r="T87" s="114">
        <f>SUM(J88:K88)</f>
        <v>143973</v>
      </c>
      <c r="U87" s="115">
        <f>J87</f>
        <v>231355077</v>
      </c>
      <c r="Z87" s="208"/>
      <c r="AA87" s="208"/>
      <c r="AB87" s="208"/>
      <c r="AC87" s="208"/>
      <c r="AD87" s="208"/>
      <c r="AE87" s="208"/>
      <c r="AF87" s="208"/>
      <c r="AG87" s="208"/>
      <c r="AH87" s="208"/>
      <c r="AI87" s="208"/>
      <c r="AJ87" s="208"/>
    </row>
    <row r="88" spans="1:36" x14ac:dyDescent="0.25">
      <c r="A88" s="435"/>
      <c r="B88" s="435" t="s">
        <v>396</v>
      </c>
      <c r="C88" s="106">
        <v>26</v>
      </c>
      <c r="D88" s="106">
        <v>73743</v>
      </c>
      <c r="E88" s="106">
        <v>19097</v>
      </c>
      <c r="F88" s="106">
        <v>3.0300000000000001E-2</v>
      </c>
      <c r="G88" s="106">
        <v>7.7999999999999996E-3</v>
      </c>
      <c r="I88" t="s">
        <v>397</v>
      </c>
      <c r="J88" s="116">
        <f>D88</f>
        <v>73743</v>
      </c>
      <c r="K88" s="117">
        <f>D87</f>
        <v>70230</v>
      </c>
      <c r="L88" s="118">
        <f>D89</f>
        <v>22963</v>
      </c>
      <c r="M88" s="105">
        <f t="shared" ref="M88:M89" si="18">SUM(J88:L88)</f>
        <v>166936</v>
      </c>
      <c r="N88">
        <f>K88/(K88+J88)</f>
        <v>0.4877997957950449</v>
      </c>
      <c r="Z88" s="208"/>
      <c r="AA88" s="208"/>
      <c r="AB88" s="208"/>
      <c r="AC88" s="208"/>
      <c r="AD88" s="208"/>
      <c r="AE88" s="208"/>
      <c r="AF88" s="208"/>
      <c r="AG88" s="208"/>
      <c r="AH88" s="208"/>
      <c r="AI88" s="208"/>
      <c r="AJ88" s="208"/>
    </row>
    <row r="89" spans="1:36" ht="15.75" thickBot="1" x14ac:dyDescent="0.3">
      <c r="A89" s="435"/>
      <c r="B89" s="435" t="s">
        <v>407</v>
      </c>
      <c r="C89" s="106">
        <v>18</v>
      </c>
      <c r="D89" s="106">
        <v>22963</v>
      </c>
      <c r="E89" s="106">
        <v>8322</v>
      </c>
      <c r="F89" s="106">
        <v>9.4000000000000004E-3</v>
      </c>
      <c r="G89" s="106">
        <v>3.3999999999999998E-3</v>
      </c>
      <c r="I89" t="s">
        <v>408</v>
      </c>
      <c r="J89" s="119">
        <f>D92</f>
        <v>77569</v>
      </c>
      <c r="K89" s="120">
        <f>D91</f>
        <v>59474</v>
      </c>
      <c r="L89" s="121">
        <f>D93</f>
        <v>97203</v>
      </c>
      <c r="M89" s="105">
        <f t="shared" si="18"/>
        <v>234246</v>
      </c>
      <c r="Z89" s="208"/>
      <c r="AA89" s="208"/>
      <c r="AB89" s="208"/>
      <c r="AC89" s="208"/>
      <c r="AD89" s="208"/>
      <c r="AE89" s="208"/>
      <c r="AF89" s="208"/>
      <c r="AG89" s="208"/>
      <c r="AH89" s="208"/>
      <c r="AI89" s="208"/>
      <c r="AJ89" s="208"/>
    </row>
    <row r="90" spans="1:36" x14ac:dyDescent="0.25">
      <c r="A90" s="435"/>
      <c r="B90" s="435" t="s">
        <v>192</v>
      </c>
      <c r="C90" s="106">
        <v>74</v>
      </c>
      <c r="D90" s="106">
        <v>166936</v>
      </c>
      <c r="E90" s="106">
        <v>28910</v>
      </c>
      <c r="F90" s="106">
        <v>6.8599999999999994E-2</v>
      </c>
      <c r="G90" s="106">
        <v>1.18E-2</v>
      </c>
      <c r="J90" s="85">
        <f>SUM(J87:J89)</f>
        <v>231506389</v>
      </c>
      <c r="K90" s="85">
        <f>SUM(K87:K89)</f>
        <v>9839135</v>
      </c>
      <c r="L90" s="85">
        <f>SUM(L87:L89)</f>
        <v>1874759</v>
      </c>
      <c r="Z90" s="208"/>
      <c r="AA90" s="208"/>
      <c r="AB90" s="208"/>
      <c r="AC90" s="208"/>
      <c r="AD90" s="208"/>
      <c r="AE90" s="208"/>
      <c r="AF90" s="208"/>
      <c r="AG90" s="208"/>
      <c r="AH90" s="208"/>
      <c r="AI90" s="208"/>
      <c r="AJ90" s="208"/>
    </row>
    <row r="91" spans="1:36" x14ac:dyDescent="0.25">
      <c r="A91" s="435" t="s">
        <v>401</v>
      </c>
      <c r="B91" s="435" t="s">
        <v>404</v>
      </c>
      <c r="C91" s="106">
        <v>29</v>
      </c>
      <c r="D91" s="106">
        <v>59474</v>
      </c>
      <c r="E91" s="106">
        <v>15037</v>
      </c>
      <c r="F91" s="106">
        <v>2.4500000000000001E-2</v>
      </c>
      <c r="G91" s="106">
        <v>6.1999999999999998E-3</v>
      </c>
      <c r="J91">
        <f>J89/(J89+K89+L89)</f>
        <v>0.33114332795437273</v>
      </c>
      <c r="K91">
        <f>K89/(K89+J89+L89)</f>
        <v>0.25389547740409657</v>
      </c>
      <c r="L91">
        <f>L89/(K89+L89+J89)</f>
        <v>0.4149611946415307</v>
      </c>
      <c r="Z91" s="208"/>
      <c r="AA91" s="208"/>
      <c r="AB91" s="208"/>
      <c r="AC91" s="208"/>
      <c r="AD91" s="208"/>
      <c r="AE91" s="208"/>
      <c r="AF91" s="208"/>
      <c r="AG91" s="208"/>
      <c r="AH91" s="208"/>
      <c r="AI91" s="208"/>
      <c r="AJ91" s="208"/>
    </row>
    <row r="92" spans="1:36" x14ac:dyDescent="0.25">
      <c r="A92" s="435"/>
      <c r="B92" s="435" t="s">
        <v>396</v>
      </c>
      <c r="C92" s="106">
        <v>25</v>
      </c>
      <c r="D92" s="106">
        <v>77569</v>
      </c>
      <c r="E92" s="106">
        <v>22929</v>
      </c>
      <c r="F92" s="106">
        <v>3.1899999999999998E-2</v>
      </c>
      <c r="G92" s="106">
        <v>9.4999999999999998E-3</v>
      </c>
      <c r="Z92" s="208"/>
      <c r="AA92" s="208"/>
      <c r="AB92" s="208"/>
      <c r="AC92" s="208"/>
      <c r="AD92" s="208"/>
      <c r="AE92" s="208"/>
      <c r="AF92" s="208"/>
      <c r="AG92" s="208"/>
      <c r="AH92" s="208"/>
      <c r="AI92" s="208"/>
      <c r="AJ92" s="208"/>
    </row>
    <row r="93" spans="1:36" x14ac:dyDescent="0.25">
      <c r="A93" s="435"/>
      <c r="B93" s="435" t="s">
        <v>407</v>
      </c>
      <c r="C93" s="106">
        <v>38</v>
      </c>
      <c r="D93" s="106">
        <v>97203</v>
      </c>
      <c r="E93" s="106">
        <v>26346</v>
      </c>
      <c r="F93" s="106">
        <v>0.04</v>
      </c>
      <c r="G93" s="106">
        <v>1.0800000000000001E-2</v>
      </c>
      <c r="J93">
        <f>J88/(J88+K88)</f>
        <v>0.51220020420495505</v>
      </c>
      <c r="K93">
        <f>K88/(K88+J88)</f>
        <v>0.4877997957950449</v>
      </c>
      <c r="Z93" s="208"/>
      <c r="AA93" s="208"/>
      <c r="AB93" s="208"/>
      <c r="AC93" s="208"/>
      <c r="AD93" s="208"/>
      <c r="AE93" s="208"/>
      <c r="AF93" s="208"/>
      <c r="AG93" s="208"/>
      <c r="AH93" s="208"/>
      <c r="AI93" s="208"/>
      <c r="AJ93" s="208"/>
    </row>
    <row r="94" spans="1:36" x14ac:dyDescent="0.25">
      <c r="A94" s="435"/>
      <c r="B94" s="435" t="s">
        <v>192</v>
      </c>
      <c r="C94" s="106">
        <v>92</v>
      </c>
      <c r="D94" s="106">
        <v>234246</v>
      </c>
      <c r="E94" s="106">
        <v>39567</v>
      </c>
      <c r="F94" s="106">
        <v>9.6299999999999997E-2</v>
      </c>
      <c r="G94" s="106">
        <v>1.6299999999999999E-2</v>
      </c>
      <c r="Z94" s="208"/>
      <c r="AA94" s="208"/>
      <c r="AB94" s="208"/>
      <c r="AC94" s="208"/>
      <c r="AD94" s="208"/>
      <c r="AE94" s="208"/>
      <c r="AF94" s="208"/>
      <c r="AG94" s="208"/>
      <c r="AH94" s="208"/>
      <c r="AI94" s="208"/>
      <c r="AJ94" s="208"/>
    </row>
    <row r="95" spans="1:36" x14ac:dyDescent="0.25">
      <c r="A95" s="435" t="s">
        <v>396</v>
      </c>
      <c r="B95" s="435" t="s">
        <v>404</v>
      </c>
      <c r="C95" s="106">
        <v>3535</v>
      </c>
      <c r="D95" s="106">
        <v>9709431</v>
      </c>
      <c r="E95" s="106">
        <v>300627</v>
      </c>
      <c r="F95" s="106">
        <v>3.992</v>
      </c>
      <c r="G95" s="106">
        <v>0.1203</v>
      </c>
      <c r="Z95" s="208"/>
      <c r="AA95" s="208"/>
      <c r="AB95" s="208"/>
      <c r="AC95" s="208"/>
      <c r="AD95" s="208"/>
      <c r="AE95" s="208"/>
      <c r="AF95" s="208"/>
      <c r="AG95" s="208"/>
      <c r="AH95" s="208"/>
      <c r="AI95" s="208"/>
      <c r="AJ95" s="208"/>
    </row>
    <row r="96" spans="1:36" x14ac:dyDescent="0.25">
      <c r="A96" s="435"/>
      <c r="B96" s="435" t="s">
        <v>396</v>
      </c>
      <c r="C96" s="106">
        <v>51515</v>
      </c>
      <c r="D96" s="106">
        <v>231355077</v>
      </c>
      <c r="E96" s="106">
        <v>2042648</v>
      </c>
      <c r="F96" s="106">
        <v>95.121600000000001</v>
      </c>
      <c r="G96" s="106">
        <v>0.13</v>
      </c>
      <c r="Z96" s="208"/>
      <c r="AA96" s="208"/>
      <c r="AB96" s="208"/>
      <c r="AC96" s="208"/>
      <c r="AD96" s="208"/>
      <c r="AE96" s="208"/>
      <c r="AF96" s="208"/>
      <c r="AG96" s="208"/>
      <c r="AH96" s="208"/>
      <c r="AI96" s="208"/>
      <c r="AJ96" s="208"/>
    </row>
    <row r="97" spans="1:42" x14ac:dyDescent="0.25">
      <c r="A97" s="435"/>
      <c r="B97" s="435" t="s">
        <v>407</v>
      </c>
      <c r="C97" s="106">
        <v>689</v>
      </c>
      <c r="D97" s="106">
        <v>1754593</v>
      </c>
      <c r="E97" s="106">
        <v>120502</v>
      </c>
      <c r="F97" s="106">
        <v>0.72140000000000004</v>
      </c>
      <c r="G97" s="106">
        <v>4.9700000000000001E-2</v>
      </c>
      <c r="Z97" s="208"/>
      <c r="AA97" s="208"/>
      <c r="AB97" s="208"/>
      <c r="AC97" s="208"/>
      <c r="AD97" s="208"/>
      <c r="AE97" s="208"/>
      <c r="AF97" s="208"/>
      <c r="AG97" s="208"/>
      <c r="AH97" s="208"/>
      <c r="AI97" s="208"/>
      <c r="AJ97" s="208"/>
    </row>
    <row r="98" spans="1:42" x14ac:dyDescent="0.25">
      <c r="A98" s="435"/>
      <c r="B98" s="435" t="s">
        <v>192</v>
      </c>
      <c r="C98" s="106">
        <v>55739</v>
      </c>
      <c r="D98" s="106">
        <v>242819101</v>
      </c>
      <c r="E98" s="106">
        <v>2094315</v>
      </c>
      <c r="F98" s="106">
        <v>99.835099999999997</v>
      </c>
      <c r="G98" s="106">
        <v>1.9699999999999999E-2</v>
      </c>
      <c r="Z98" s="208"/>
      <c r="AA98" s="208"/>
      <c r="AB98" s="208"/>
      <c r="AC98" s="208"/>
      <c r="AD98" s="208"/>
      <c r="AE98" s="208"/>
      <c r="AF98" s="208"/>
      <c r="AG98" s="208"/>
      <c r="AH98" s="208"/>
      <c r="AI98" s="208"/>
      <c r="AJ98" s="208"/>
      <c r="AK98" s="208"/>
      <c r="AL98" s="208"/>
      <c r="AM98" s="208"/>
      <c r="AN98" s="208"/>
      <c r="AO98" s="208"/>
      <c r="AP98" s="208"/>
    </row>
    <row r="99" spans="1:42" x14ac:dyDescent="0.25">
      <c r="A99" s="435" t="s">
        <v>192</v>
      </c>
      <c r="B99" s="435" t="s">
        <v>404</v>
      </c>
      <c r="C99" s="106">
        <v>3594</v>
      </c>
      <c r="D99" s="106">
        <v>9839135</v>
      </c>
      <c r="E99" s="106">
        <v>300133</v>
      </c>
      <c r="F99" s="106">
        <v>4.0453999999999999</v>
      </c>
      <c r="G99" s="106">
        <v>0.12</v>
      </c>
      <c r="Z99" s="208"/>
      <c r="AB99" s="208"/>
      <c r="AC99" s="48"/>
      <c r="AD99" s="48"/>
      <c r="AE99" s="48"/>
      <c r="AF99" s="48"/>
      <c r="AG99" s="48"/>
      <c r="AH99" s="48"/>
      <c r="AI99" s="48"/>
      <c r="AJ99" s="48"/>
      <c r="AK99" s="48"/>
      <c r="AL99" s="48"/>
      <c r="AM99" s="48"/>
      <c r="AN99" s="48"/>
      <c r="AO99" s="48"/>
      <c r="AP99" s="48"/>
    </row>
    <row r="100" spans="1:42" x14ac:dyDescent="0.25">
      <c r="A100" s="435"/>
      <c r="B100" s="435" t="s">
        <v>396</v>
      </c>
      <c r="C100" s="106">
        <v>51566</v>
      </c>
      <c r="D100" s="106">
        <v>231506390</v>
      </c>
      <c r="E100" s="106">
        <v>2040617</v>
      </c>
      <c r="F100" s="106">
        <v>95.183800000000005</v>
      </c>
      <c r="G100" s="106">
        <v>0.12690000000000001</v>
      </c>
    </row>
    <row r="101" spans="1:42" x14ac:dyDescent="0.25">
      <c r="A101" s="435"/>
      <c r="B101" s="435" t="s">
        <v>407</v>
      </c>
      <c r="C101" s="106">
        <v>745</v>
      </c>
      <c r="D101" s="106">
        <v>1874759</v>
      </c>
      <c r="E101" s="106">
        <v>122675</v>
      </c>
      <c r="F101" s="106">
        <v>0.77080000000000004</v>
      </c>
      <c r="G101" s="106">
        <v>5.0500000000000003E-2</v>
      </c>
    </row>
    <row r="102" spans="1:42" x14ac:dyDescent="0.25">
      <c r="A102" s="435"/>
      <c r="B102" s="435" t="s">
        <v>192</v>
      </c>
      <c r="C102" s="106">
        <v>55905</v>
      </c>
      <c r="D102" s="106">
        <v>243220283</v>
      </c>
      <c r="E102" s="106">
        <v>2095953</v>
      </c>
      <c r="F102" s="106">
        <v>100</v>
      </c>
      <c r="G102" s="106"/>
    </row>
    <row r="103" spans="1:42" x14ac:dyDescent="0.25">
      <c r="A103" s="122"/>
    </row>
    <row r="104" spans="1:42" x14ac:dyDescent="0.25">
      <c r="A104" s="605" t="s">
        <v>385</v>
      </c>
      <c r="B104" s="605"/>
      <c r="C104" s="605"/>
      <c r="D104" s="605"/>
      <c r="E104" s="605"/>
      <c r="F104" s="605"/>
      <c r="G104" s="605"/>
    </row>
    <row r="105" spans="1:42" x14ac:dyDescent="0.25">
      <c r="A105" s="605" t="s">
        <v>427</v>
      </c>
      <c r="B105" s="605"/>
      <c r="C105" s="605"/>
      <c r="D105" s="605"/>
      <c r="E105" s="605"/>
      <c r="F105" s="605"/>
      <c r="G105" s="605"/>
    </row>
    <row r="106" spans="1:42" x14ac:dyDescent="0.25">
      <c r="A106" s="605" t="s">
        <v>388</v>
      </c>
      <c r="B106" s="605" t="s">
        <v>389</v>
      </c>
      <c r="C106" s="605" t="s">
        <v>390</v>
      </c>
      <c r="D106" s="435" t="s">
        <v>391</v>
      </c>
      <c r="E106" s="435" t="s">
        <v>392</v>
      </c>
      <c r="F106" s="605" t="s">
        <v>393</v>
      </c>
      <c r="G106" s="435" t="s">
        <v>392</v>
      </c>
      <c r="J106" t="s">
        <v>394</v>
      </c>
    </row>
    <row r="107" spans="1:42" ht="30.75" thickBot="1" x14ac:dyDescent="0.3">
      <c r="A107" s="605"/>
      <c r="B107" s="605"/>
      <c r="C107" s="605"/>
      <c r="D107" s="435" t="s">
        <v>390</v>
      </c>
      <c r="E107" s="435" t="s">
        <v>395</v>
      </c>
      <c r="F107" s="605"/>
      <c r="G107" s="435" t="s">
        <v>393</v>
      </c>
      <c r="I107">
        <v>2006</v>
      </c>
      <c r="J107" t="s">
        <v>396</v>
      </c>
      <c r="K107" t="s">
        <v>397</v>
      </c>
      <c r="L107" t="s">
        <v>398</v>
      </c>
      <c r="P107" s="48" t="s">
        <v>399</v>
      </c>
      <c r="Q107" s="48" t="s">
        <v>400</v>
      </c>
      <c r="R107" s="48" t="s">
        <v>401</v>
      </c>
      <c r="S107" t="s">
        <v>402</v>
      </c>
      <c r="T107" s="48" t="s">
        <v>403</v>
      </c>
      <c r="U107" s="48" t="s">
        <v>396</v>
      </c>
    </row>
    <row r="108" spans="1:42" ht="30" x14ac:dyDescent="0.25">
      <c r="A108" s="435" t="s">
        <v>404</v>
      </c>
      <c r="B108" s="435" t="s">
        <v>404</v>
      </c>
      <c r="C108" s="106">
        <v>30</v>
      </c>
      <c r="D108" s="106">
        <v>114557</v>
      </c>
      <c r="E108" s="106">
        <v>60749</v>
      </c>
      <c r="F108" s="106">
        <v>4.6600000000000003E-2</v>
      </c>
      <c r="G108" s="106">
        <v>2.47E-2</v>
      </c>
      <c r="H108" t="s">
        <v>405</v>
      </c>
      <c r="I108" t="s">
        <v>396</v>
      </c>
      <c r="J108" s="107">
        <f>D117</f>
        <v>233515153</v>
      </c>
      <c r="K108" s="108">
        <f>D116</f>
        <v>10191551</v>
      </c>
      <c r="L108" s="109">
        <f>D118</f>
        <v>1768853</v>
      </c>
      <c r="M108" s="105">
        <f>SUM(J108:L108)</f>
        <v>245475557</v>
      </c>
      <c r="N108" s="214" t="s">
        <v>406</v>
      </c>
      <c r="P108" s="110">
        <f>L108</f>
        <v>1768853</v>
      </c>
      <c r="Q108" s="111">
        <f>L109</f>
        <v>27983</v>
      </c>
      <c r="R108" s="112">
        <f>SUM(J110:L110)</f>
        <v>319932</v>
      </c>
      <c r="S108" s="113">
        <f>K108</f>
        <v>10191551</v>
      </c>
      <c r="T108" s="114">
        <f>SUM(J109:K109)</f>
        <v>198182</v>
      </c>
      <c r="U108" s="115">
        <f>J108</f>
        <v>233515153</v>
      </c>
    </row>
    <row r="109" spans="1:42" x14ac:dyDescent="0.25">
      <c r="A109" s="435"/>
      <c r="B109" s="435" t="s">
        <v>396</v>
      </c>
      <c r="C109" s="106">
        <v>29</v>
      </c>
      <c r="D109" s="106">
        <v>83625</v>
      </c>
      <c r="E109" s="106">
        <v>36396</v>
      </c>
      <c r="F109" s="106">
        <v>3.4000000000000002E-2</v>
      </c>
      <c r="G109" s="106">
        <v>1.4800000000000001E-2</v>
      </c>
      <c r="I109" t="s">
        <v>397</v>
      </c>
      <c r="J109" s="116">
        <f>D109</f>
        <v>83625</v>
      </c>
      <c r="K109" s="117">
        <f>D108</f>
        <v>114557</v>
      </c>
      <c r="L109" s="118">
        <f>D110</f>
        <v>27983</v>
      </c>
      <c r="M109" s="105">
        <f t="shared" ref="M109:M110" si="19">SUM(J109:L109)</f>
        <v>226165</v>
      </c>
      <c r="N109">
        <f>K109/(K109+J109)</f>
        <v>0.57803937794552485</v>
      </c>
    </row>
    <row r="110" spans="1:42" ht="15.75" thickBot="1" x14ac:dyDescent="0.3">
      <c r="A110" s="435"/>
      <c r="B110" s="435" t="s">
        <v>407</v>
      </c>
      <c r="C110" s="106">
        <v>15</v>
      </c>
      <c r="D110" s="106">
        <v>27983</v>
      </c>
      <c r="E110" s="106">
        <v>9463</v>
      </c>
      <c r="F110" s="106">
        <v>1.14E-2</v>
      </c>
      <c r="G110" s="106">
        <v>3.8999999999999998E-3</v>
      </c>
      <c r="I110" t="s">
        <v>408</v>
      </c>
      <c r="J110" s="119">
        <f>D113</f>
        <v>95510</v>
      </c>
      <c r="K110" s="120">
        <f>D112</f>
        <v>131323</v>
      </c>
      <c r="L110" s="121">
        <f>D114</f>
        <v>93099</v>
      </c>
      <c r="M110" s="105">
        <f t="shared" si="19"/>
        <v>319932</v>
      </c>
    </row>
    <row r="111" spans="1:42" x14ac:dyDescent="0.25">
      <c r="A111" s="435"/>
      <c r="B111" s="435" t="s">
        <v>192</v>
      </c>
      <c r="C111" s="106">
        <v>74</v>
      </c>
      <c r="D111" s="106">
        <v>226166</v>
      </c>
      <c r="E111" s="106">
        <v>71692</v>
      </c>
      <c r="F111" s="106">
        <v>9.1899999999999996E-2</v>
      </c>
      <c r="G111" s="106">
        <v>2.93E-2</v>
      </c>
      <c r="J111" s="85">
        <f>SUM(J108:J110)</f>
        <v>233694288</v>
      </c>
      <c r="K111" s="85">
        <f>SUM(K108:K110)</f>
        <v>10437431</v>
      </c>
      <c r="L111" s="85">
        <f>SUM(L108:L110)</f>
        <v>1889935</v>
      </c>
    </row>
    <row r="112" spans="1:42" x14ac:dyDescent="0.25">
      <c r="A112" s="435" t="s">
        <v>401</v>
      </c>
      <c r="B112" s="435" t="s">
        <v>404</v>
      </c>
      <c r="C112" s="106">
        <v>23</v>
      </c>
      <c r="D112" s="106">
        <v>131323</v>
      </c>
      <c r="E112" s="106">
        <v>53896</v>
      </c>
      <c r="F112" s="106">
        <v>5.3400000000000003E-2</v>
      </c>
      <c r="G112" s="106">
        <v>2.1899999999999999E-2</v>
      </c>
      <c r="J112">
        <f>J110/(J110+K110+L110)</f>
        <v>0.29853218808996912</v>
      </c>
      <c r="K112">
        <f>K110/(K110+J110+L110)</f>
        <v>0.4104716002150457</v>
      </c>
      <c r="L112">
        <f>L110/(K110+L110+J110)</f>
        <v>0.29099621169498519</v>
      </c>
    </row>
    <row r="113" spans="1:21" x14ac:dyDescent="0.25">
      <c r="A113" s="435"/>
      <c r="B113" s="435" t="s">
        <v>396</v>
      </c>
      <c r="C113" s="106">
        <v>22</v>
      </c>
      <c r="D113" s="106">
        <v>95510</v>
      </c>
      <c r="E113" s="106">
        <v>28069</v>
      </c>
      <c r="F113" s="106">
        <v>3.8800000000000001E-2</v>
      </c>
      <c r="G113" s="106">
        <v>1.14E-2</v>
      </c>
    </row>
    <row r="114" spans="1:21" x14ac:dyDescent="0.25">
      <c r="A114" s="435"/>
      <c r="B114" s="435" t="s">
        <v>407</v>
      </c>
      <c r="C114" s="106">
        <v>33</v>
      </c>
      <c r="D114" s="106">
        <v>93099</v>
      </c>
      <c r="E114" s="106">
        <v>29695</v>
      </c>
      <c r="F114" s="106">
        <v>3.78E-2</v>
      </c>
      <c r="G114" s="106">
        <v>1.2E-2</v>
      </c>
      <c r="J114">
        <f>J109/(J109+K109)</f>
        <v>0.42196062205447515</v>
      </c>
      <c r="K114">
        <f>K109/(K109+J109)</f>
        <v>0.57803937794552485</v>
      </c>
    </row>
    <row r="115" spans="1:21" x14ac:dyDescent="0.25">
      <c r="A115" s="435"/>
      <c r="B115" s="435" t="s">
        <v>192</v>
      </c>
      <c r="C115" s="106">
        <v>78</v>
      </c>
      <c r="D115" s="106">
        <v>319933</v>
      </c>
      <c r="E115" s="106">
        <v>68513</v>
      </c>
      <c r="F115" s="106">
        <v>0.13</v>
      </c>
      <c r="G115" s="106">
        <v>2.7699999999999999E-2</v>
      </c>
    </row>
    <row r="116" spans="1:21" x14ac:dyDescent="0.25">
      <c r="A116" s="435" t="s">
        <v>396</v>
      </c>
      <c r="B116" s="435" t="s">
        <v>404</v>
      </c>
      <c r="C116" s="106">
        <v>3502</v>
      </c>
      <c r="D116" s="106">
        <v>10191551</v>
      </c>
      <c r="E116" s="106">
        <v>333715</v>
      </c>
      <c r="F116" s="106">
        <v>4.1425000000000001</v>
      </c>
      <c r="G116" s="106">
        <v>0.1356</v>
      </c>
    </row>
    <row r="117" spans="1:21" x14ac:dyDescent="0.25">
      <c r="A117" s="435"/>
      <c r="B117" s="435" t="s">
        <v>396</v>
      </c>
      <c r="C117" s="106">
        <v>50716</v>
      </c>
      <c r="D117" s="106">
        <v>233515153</v>
      </c>
      <c r="E117" s="106">
        <v>1919178</v>
      </c>
      <c r="F117" s="106">
        <v>94.916499999999999</v>
      </c>
      <c r="G117" s="106">
        <v>0.14699999999999999</v>
      </c>
    </row>
    <row r="118" spans="1:21" x14ac:dyDescent="0.25">
      <c r="A118" s="435"/>
      <c r="B118" s="435" t="s">
        <v>407</v>
      </c>
      <c r="C118" s="106">
        <v>665</v>
      </c>
      <c r="D118" s="106">
        <v>1768853</v>
      </c>
      <c r="E118" s="106">
        <v>121451</v>
      </c>
      <c r="F118" s="106">
        <v>0.71899999999999997</v>
      </c>
      <c r="G118" s="106">
        <v>4.9000000000000002E-2</v>
      </c>
    </row>
    <row r="119" spans="1:21" x14ac:dyDescent="0.25">
      <c r="A119" s="435"/>
      <c r="B119" s="435" t="s">
        <v>192</v>
      </c>
      <c r="C119" s="106">
        <v>54883</v>
      </c>
      <c r="D119" s="106">
        <v>245475557</v>
      </c>
      <c r="E119" s="106">
        <v>1944100</v>
      </c>
      <c r="F119" s="106">
        <v>99.778000000000006</v>
      </c>
      <c r="G119" s="106">
        <v>3.8800000000000001E-2</v>
      </c>
    </row>
    <row r="120" spans="1:21" x14ac:dyDescent="0.25">
      <c r="A120" s="435" t="s">
        <v>192</v>
      </c>
      <c r="B120" s="435" t="s">
        <v>404</v>
      </c>
      <c r="C120" s="106">
        <v>3555</v>
      </c>
      <c r="D120" s="106">
        <v>10437431</v>
      </c>
      <c r="E120" s="106">
        <v>370997</v>
      </c>
      <c r="F120" s="106">
        <v>4.2424999999999997</v>
      </c>
      <c r="G120" s="106">
        <v>0.15090000000000001</v>
      </c>
    </row>
    <row r="121" spans="1:21" x14ac:dyDescent="0.25">
      <c r="A121" s="435"/>
      <c r="B121" s="435" t="s">
        <v>396</v>
      </c>
      <c r="C121" s="106">
        <v>50767</v>
      </c>
      <c r="D121" s="106">
        <v>233694289</v>
      </c>
      <c r="E121" s="106">
        <v>1914428</v>
      </c>
      <c r="F121" s="106">
        <v>94.9893</v>
      </c>
      <c r="G121" s="106">
        <v>0.14399999999999999</v>
      </c>
    </row>
    <row r="122" spans="1:21" x14ac:dyDescent="0.25">
      <c r="A122" s="435"/>
      <c r="B122" s="435" t="s">
        <v>407</v>
      </c>
      <c r="C122" s="106">
        <v>713</v>
      </c>
      <c r="D122" s="106">
        <v>1889936</v>
      </c>
      <c r="E122" s="106">
        <v>121724</v>
      </c>
      <c r="F122" s="106">
        <v>0.76819999999999999</v>
      </c>
      <c r="G122" s="106">
        <v>4.8899999999999999E-2</v>
      </c>
    </row>
    <row r="123" spans="1:21" x14ac:dyDescent="0.25">
      <c r="A123" s="435"/>
      <c r="B123" s="435" t="s">
        <v>192</v>
      </c>
      <c r="C123" s="106">
        <v>55035</v>
      </c>
      <c r="D123" s="106">
        <v>246021656</v>
      </c>
      <c r="E123" s="106">
        <v>1940330</v>
      </c>
      <c r="F123" s="106">
        <v>100</v>
      </c>
      <c r="G123" s="106"/>
    </row>
    <row r="124" spans="1:21" x14ac:dyDescent="0.25">
      <c r="A124" s="122"/>
    </row>
    <row r="125" spans="1:21" x14ac:dyDescent="0.25">
      <c r="A125" s="605" t="s">
        <v>385</v>
      </c>
      <c r="B125" s="605"/>
      <c r="C125" s="605"/>
      <c r="D125" s="605"/>
      <c r="E125" s="605"/>
      <c r="F125" s="605"/>
      <c r="G125" s="605"/>
    </row>
    <row r="126" spans="1:21" x14ac:dyDescent="0.25">
      <c r="A126" s="605" t="s">
        <v>428</v>
      </c>
      <c r="B126" s="605"/>
      <c r="C126" s="605"/>
      <c r="D126" s="605"/>
      <c r="E126" s="605"/>
      <c r="F126" s="605"/>
      <c r="G126" s="605"/>
    </row>
    <row r="127" spans="1:21" x14ac:dyDescent="0.25">
      <c r="A127" s="605" t="s">
        <v>388</v>
      </c>
      <c r="B127" s="605" t="s">
        <v>389</v>
      </c>
      <c r="C127" s="605" t="s">
        <v>390</v>
      </c>
      <c r="D127" s="435" t="s">
        <v>391</v>
      </c>
      <c r="E127" s="435" t="s">
        <v>392</v>
      </c>
      <c r="F127" s="605" t="s">
        <v>393</v>
      </c>
      <c r="G127" s="435" t="s">
        <v>392</v>
      </c>
      <c r="J127" t="s">
        <v>394</v>
      </c>
    </row>
    <row r="128" spans="1:21" ht="30.75" thickBot="1" x14ac:dyDescent="0.3">
      <c r="A128" s="605"/>
      <c r="B128" s="605"/>
      <c r="C128" s="605"/>
      <c r="D128" s="435" t="s">
        <v>390</v>
      </c>
      <c r="E128" s="435" t="s">
        <v>395</v>
      </c>
      <c r="F128" s="605"/>
      <c r="G128" s="435" t="s">
        <v>393</v>
      </c>
      <c r="I128">
        <v>2007</v>
      </c>
      <c r="J128" t="s">
        <v>396</v>
      </c>
      <c r="K128" t="s">
        <v>397</v>
      </c>
      <c r="L128" t="s">
        <v>398</v>
      </c>
      <c r="P128" s="48" t="s">
        <v>399</v>
      </c>
      <c r="Q128" s="48" t="s">
        <v>400</v>
      </c>
      <c r="R128" s="48" t="s">
        <v>401</v>
      </c>
      <c r="S128" t="s">
        <v>402</v>
      </c>
      <c r="T128" s="48" t="s">
        <v>403</v>
      </c>
      <c r="U128" s="48" t="s">
        <v>396</v>
      </c>
    </row>
    <row r="129" spans="1:21" ht="30" x14ac:dyDescent="0.25">
      <c r="A129" s="435" t="s">
        <v>404</v>
      </c>
      <c r="B129" s="435" t="s">
        <v>404</v>
      </c>
      <c r="C129" s="106">
        <v>23</v>
      </c>
      <c r="D129" s="106">
        <v>74444</v>
      </c>
      <c r="E129" s="106">
        <v>26729</v>
      </c>
      <c r="F129" s="106">
        <v>0.03</v>
      </c>
      <c r="G129" s="106">
        <v>1.0800000000000001E-2</v>
      </c>
      <c r="H129" t="s">
        <v>405</v>
      </c>
      <c r="I129" t="s">
        <v>396</v>
      </c>
      <c r="J129" s="107">
        <f>D138</f>
        <v>235185658</v>
      </c>
      <c r="K129" s="108">
        <f>D137</f>
        <v>10292408</v>
      </c>
      <c r="L129" s="109">
        <f>D139</f>
        <v>1967314</v>
      </c>
      <c r="M129" s="105">
        <f>SUM(J129:L129)</f>
        <v>247445380</v>
      </c>
      <c r="N129" s="214" t="s">
        <v>406</v>
      </c>
      <c r="P129" s="110">
        <f>L129</f>
        <v>1967314</v>
      </c>
      <c r="Q129" s="111">
        <f>L130</f>
        <v>48397</v>
      </c>
      <c r="R129" s="112">
        <f>SUM(J131:L131)</f>
        <v>248268</v>
      </c>
      <c r="S129" s="113">
        <f>K129</f>
        <v>10292408</v>
      </c>
      <c r="T129" s="114">
        <f>SUM(J130:K130)</f>
        <v>103162</v>
      </c>
      <c r="U129" s="115">
        <f>J129</f>
        <v>235185658</v>
      </c>
    </row>
    <row r="130" spans="1:21" x14ac:dyDescent="0.25">
      <c r="A130" s="435"/>
      <c r="B130" s="435" t="s">
        <v>396</v>
      </c>
      <c r="C130" s="106">
        <v>11</v>
      </c>
      <c r="D130" s="106">
        <v>28718</v>
      </c>
      <c r="E130" s="106">
        <v>12495</v>
      </c>
      <c r="F130" s="106">
        <v>1.1599999999999999E-2</v>
      </c>
      <c r="G130" s="106">
        <v>5.1000000000000004E-3</v>
      </c>
      <c r="I130" t="s">
        <v>397</v>
      </c>
      <c r="J130" s="116">
        <f>D130</f>
        <v>28718</v>
      </c>
      <c r="K130" s="117">
        <f>D129</f>
        <v>74444</v>
      </c>
      <c r="L130" s="118">
        <f>D131</f>
        <v>48397</v>
      </c>
      <c r="M130" s="105">
        <f t="shared" ref="M130:M131" si="20">SUM(J130:L130)</f>
        <v>151559</v>
      </c>
      <c r="N130">
        <f>K130/(K130+J130)</f>
        <v>0.72162230278590955</v>
      </c>
    </row>
    <row r="131" spans="1:21" ht="15.75" thickBot="1" x14ac:dyDescent="0.3">
      <c r="A131" s="435"/>
      <c r="B131" s="435" t="s">
        <v>407</v>
      </c>
      <c r="C131" s="106">
        <v>25</v>
      </c>
      <c r="D131" s="106">
        <v>48397</v>
      </c>
      <c r="E131" s="106">
        <v>14240</v>
      </c>
      <c r="F131" s="106">
        <v>1.95E-2</v>
      </c>
      <c r="G131" s="106">
        <v>5.7999999999999996E-3</v>
      </c>
      <c r="I131" t="s">
        <v>408</v>
      </c>
      <c r="J131" s="119">
        <f>D134</f>
        <v>63108</v>
      </c>
      <c r="K131" s="120">
        <f>D133</f>
        <v>79057</v>
      </c>
      <c r="L131" s="121">
        <f>D135</f>
        <v>106103</v>
      </c>
      <c r="M131" s="105">
        <f t="shared" si="20"/>
        <v>248268</v>
      </c>
    </row>
    <row r="132" spans="1:21" x14ac:dyDescent="0.25">
      <c r="A132" s="435"/>
      <c r="B132" s="435" t="s">
        <v>192</v>
      </c>
      <c r="C132" s="106">
        <v>59</v>
      </c>
      <c r="D132" s="106">
        <v>151559</v>
      </c>
      <c r="E132" s="106">
        <v>34367</v>
      </c>
      <c r="F132" s="106">
        <v>6.1199999999999997E-2</v>
      </c>
      <c r="G132" s="106">
        <v>1.3899999999999999E-2</v>
      </c>
      <c r="J132" s="85">
        <f>SUM(J129:J131)</f>
        <v>235277484</v>
      </c>
      <c r="K132" s="85">
        <f>SUM(K129:K131)</f>
        <v>10445909</v>
      </c>
      <c r="L132" s="85">
        <f>SUM(L129:L131)</f>
        <v>2121814</v>
      </c>
    </row>
    <row r="133" spans="1:21" x14ac:dyDescent="0.25">
      <c r="A133" s="435" t="s">
        <v>401</v>
      </c>
      <c r="B133" s="435" t="s">
        <v>404</v>
      </c>
      <c r="C133" s="106">
        <v>27</v>
      </c>
      <c r="D133" s="106">
        <v>79057</v>
      </c>
      <c r="E133" s="106">
        <v>21068</v>
      </c>
      <c r="F133" s="106">
        <v>3.1899999999999998E-2</v>
      </c>
      <c r="G133" s="106">
        <v>8.5000000000000006E-3</v>
      </c>
      <c r="J133">
        <f>J131/(J131+K131+L131)</f>
        <v>0.25419304944656579</v>
      </c>
      <c r="K133">
        <f>K131/(K131+J131+L131)</f>
        <v>0.31843411152464274</v>
      </c>
      <c r="L133">
        <f>L131/(K131+L131+J131)</f>
        <v>0.42737283902879147</v>
      </c>
    </row>
    <row r="134" spans="1:21" x14ac:dyDescent="0.25">
      <c r="A134" s="435"/>
      <c r="B134" s="435" t="s">
        <v>396</v>
      </c>
      <c r="C134" s="106">
        <v>12</v>
      </c>
      <c r="D134" s="106">
        <v>63108</v>
      </c>
      <c r="E134" s="106">
        <v>33727</v>
      </c>
      <c r="F134" s="106">
        <v>2.5499999999999998E-2</v>
      </c>
      <c r="G134" s="106">
        <v>1.35E-2</v>
      </c>
    </row>
    <row r="135" spans="1:21" x14ac:dyDescent="0.25">
      <c r="A135" s="435"/>
      <c r="B135" s="435" t="s">
        <v>407</v>
      </c>
      <c r="C135" s="106">
        <v>33</v>
      </c>
      <c r="D135" s="106">
        <v>106103</v>
      </c>
      <c r="E135" s="106">
        <v>37119</v>
      </c>
      <c r="F135" s="106">
        <v>4.2799999999999998E-2</v>
      </c>
      <c r="G135" s="106">
        <v>1.4999999999999999E-2</v>
      </c>
      <c r="J135">
        <f>J130/(J130+K130)</f>
        <v>0.27837769721409045</v>
      </c>
      <c r="K135">
        <f>K130/(K130+J130)</f>
        <v>0.72162230278590955</v>
      </c>
    </row>
    <row r="136" spans="1:21" x14ac:dyDescent="0.25">
      <c r="A136" s="435"/>
      <c r="B136" s="435" t="s">
        <v>192</v>
      </c>
      <c r="C136" s="106">
        <v>72</v>
      </c>
      <c r="D136" s="106">
        <v>248268</v>
      </c>
      <c r="E136" s="106">
        <v>54866</v>
      </c>
      <c r="F136" s="106">
        <v>0.1002</v>
      </c>
      <c r="G136" s="106">
        <v>2.1999999999999999E-2</v>
      </c>
    </row>
    <row r="137" spans="1:21" x14ac:dyDescent="0.25">
      <c r="A137" s="435" t="s">
        <v>396</v>
      </c>
      <c r="B137" s="435" t="s">
        <v>404</v>
      </c>
      <c r="C137" s="106">
        <v>3446</v>
      </c>
      <c r="D137" s="106">
        <v>10292408</v>
      </c>
      <c r="E137" s="106">
        <v>305496</v>
      </c>
      <c r="F137" s="106">
        <v>4.1528</v>
      </c>
      <c r="G137" s="106">
        <v>0.1152</v>
      </c>
    </row>
    <row r="138" spans="1:21" x14ac:dyDescent="0.25">
      <c r="A138" s="435"/>
      <c r="B138" s="435" t="s">
        <v>396</v>
      </c>
      <c r="C138" s="106">
        <v>50757</v>
      </c>
      <c r="D138" s="106">
        <v>235185658</v>
      </c>
      <c r="E138" s="106">
        <v>2357185</v>
      </c>
      <c r="F138" s="106">
        <v>94.892200000000003</v>
      </c>
      <c r="G138" s="106">
        <v>0.1202</v>
      </c>
    </row>
    <row r="139" spans="1:21" x14ac:dyDescent="0.25">
      <c r="A139" s="435"/>
      <c r="B139" s="435" t="s">
        <v>407</v>
      </c>
      <c r="C139" s="106">
        <v>715</v>
      </c>
      <c r="D139" s="106">
        <v>1967314</v>
      </c>
      <c r="E139" s="106">
        <v>170083</v>
      </c>
      <c r="F139" s="106">
        <v>0.79379999999999995</v>
      </c>
      <c r="G139" s="106">
        <v>6.6799999999999998E-2</v>
      </c>
    </row>
    <row r="140" spans="1:21" x14ac:dyDescent="0.25">
      <c r="A140" s="435"/>
      <c r="B140" s="435" t="s">
        <v>192</v>
      </c>
      <c r="C140" s="106">
        <v>54918</v>
      </c>
      <c r="D140" s="106">
        <v>247445380</v>
      </c>
      <c r="E140" s="106">
        <v>2495625</v>
      </c>
      <c r="F140" s="106">
        <v>99.838700000000003</v>
      </c>
      <c r="G140" s="106">
        <v>2.5600000000000001E-2</v>
      </c>
    </row>
    <row r="141" spans="1:21" x14ac:dyDescent="0.25">
      <c r="A141" s="435" t="s">
        <v>192</v>
      </c>
      <c r="B141" s="435" t="s">
        <v>404</v>
      </c>
      <c r="C141" s="106">
        <v>3496</v>
      </c>
      <c r="D141" s="106">
        <v>10445910</v>
      </c>
      <c r="E141" s="106">
        <v>311281</v>
      </c>
      <c r="F141" s="106">
        <v>4.2146999999999997</v>
      </c>
      <c r="G141" s="106">
        <v>0.1179</v>
      </c>
    </row>
    <row r="142" spans="1:21" x14ac:dyDescent="0.25">
      <c r="A142" s="435"/>
      <c r="B142" s="435" t="s">
        <v>396</v>
      </c>
      <c r="C142" s="106">
        <v>50780</v>
      </c>
      <c r="D142" s="106">
        <v>235277484</v>
      </c>
      <c r="E142" s="106">
        <v>2365937</v>
      </c>
      <c r="F142" s="106">
        <v>94.929199999999994</v>
      </c>
      <c r="G142" s="106">
        <v>0.122</v>
      </c>
    </row>
    <row r="143" spans="1:21" x14ac:dyDescent="0.25">
      <c r="A143" s="435"/>
      <c r="B143" s="435" t="s">
        <v>407</v>
      </c>
      <c r="C143" s="106">
        <v>773</v>
      </c>
      <c r="D143" s="106">
        <v>2121814</v>
      </c>
      <c r="E143" s="106">
        <v>174566</v>
      </c>
      <c r="F143" s="106">
        <v>0.85609999999999997</v>
      </c>
      <c r="G143" s="106">
        <v>6.8699999999999997E-2</v>
      </c>
    </row>
    <row r="144" spans="1:21" x14ac:dyDescent="0.25">
      <c r="A144" s="435"/>
      <c r="B144" s="435" t="s">
        <v>192</v>
      </c>
      <c r="C144" s="106">
        <v>55049</v>
      </c>
      <c r="D144" s="106">
        <v>247845207</v>
      </c>
      <c r="E144" s="106">
        <v>2499997</v>
      </c>
      <c r="F144" s="106">
        <v>100</v>
      </c>
      <c r="G144" s="106"/>
    </row>
    <row r="145" spans="1:21" x14ac:dyDescent="0.25">
      <c r="A145" s="122"/>
    </row>
    <row r="146" spans="1:21" x14ac:dyDescent="0.25">
      <c r="A146" s="605" t="s">
        <v>385</v>
      </c>
      <c r="B146" s="605"/>
      <c r="C146" s="605"/>
      <c r="D146" s="605"/>
      <c r="E146" s="605"/>
      <c r="F146" s="605"/>
      <c r="G146" s="605"/>
    </row>
    <row r="147" spans="1:21" x14ac:dyDescent="0.25">
      <c r="A147" s="605" t="s">
        <v>429</v>
      </c>
      <c r="B147" s="605"/>
      <c r="C147" s="605"/>
      <c r="D147" s="605"/>
      <c r="E147" s="605"/>
      <c r="F147" s="605"/>
      <c r="G147" s="605"/>
    </row>
    <row r="148" spans="1:21" x14ac:dyDescent="0.25">
      <c r="A148" s="605" t="s">
        <v>388</v>
      </c>
      <c r="B148" s="605" t="s">
        <v>389</v>
      </c>
      <c r="C148" s="605" t="s">
        <v>390</v>
      </c>
      <c r="D148" s="435" t="s">
        <v>391</v>
      </c>
      <c r="E148" s="435" t="s">
        <v>392</v>
      </c>
      <c r="F148" s="605" t="s">
        <v>393</v>
      </c>
      <c r="G148" s="435" t="s">
        <v>392</v>
      </c>
      <c r="J148" t="s">
        <v>394</v>
      </c>
    </row>
    <row r="149" spans="1:21" ht="30.75" thickBot="1" x14ac:dyDescent="0.3">
      <c r="A149" s="605"/>
      <c r="B149" s="605"/>
      <c r="C149" s="605"/>
      <c r="D149" s="435" t="s">
        <v>390</v>
      </c>
      <c r="E149" s="435" t="s">
        <v>395</v>
      </c>
      <c r="F149" s="605"/>
      <c r="G149" s="435" t="s">
        <v>393</v>
      </c>
      <c r="I149">
        <v>2008</v>
      </c>
      <c r="J149" t="s">
        <v>396</v>
      </c>
      <c r="K149" t="s">
        <v>397</v>
      </c>
      <c r="L149" t="s">
        <v>398</v>
      </c>
      <c r="P149" s="48" t="s">
        <v>399</v>
      </c>
      <c r="Q149" s="48" t="s">
        <v>400</v>
      </c>
      <c r="R149" s="48" t="s">
        <v>401</v>
      </c>
      <c r="S149" t="s">
        <v>402</v>
      </c>
      <c r="T149" s="48" t="s">
        <v>403</v>
      </c>
      <c r="U149" s="48" t="s">
        <v>396</v>
      </c>
    </row>
    <row r="150" spans="1:21" ht="30" x14ac:dyDescent="0.25">
      <c r="A150" s="435" t="s">
        <v>404</v>
      </c>
      <c r="B150" s="435" t="s">
        <v>404</v>
      </c>
      <c r="C150" s="106">
        <v>35</v>
      </c>
      <c r="D150" s="106">
        <v>59619</v>
      </c>
      <c r="E150" s="106">
        <v>12423</v>
      </c>
      <c r="F150" s="106">
        <v>2.3900000000000001E-2</v>
      </c>
      <c r="G150" s="106">
        <v>5.0000000000000001E-3</v>
      </c>
      <c r="H150" t="s">
        <v>405</v>
      </c>
      <c r="I150" t="s">
        <v>396</v>
      </c>
      <c r="J150" s="123">
        <f>D159</f>
        <v>237586835</v>
      </c>
      <c r="K150" s="124">
        <f>D158</f>
        <v>9795118</v>
      </c>
      <c r="L150" s="125">
        <f>D160</f>
        <v>1912898</v>
      </c>
      <c r="M150" s="105">
        <f>SUM(J150:L150)</f>
        <v>249294851</v>
      </c>
      <c r="N150" s="214" t="s">
        <v>406</v>
      </c>
      <c r="P150" s="110">
        <f>L150</f>
        <v>1912898</v>
      </c>
      <c r="Q150" s="111">
        <f>L151</f>
        <v>50393</v>
      </c>
      <c r="R150" s="112">
        <f>SUM(J152:L152)</f>
        <v>329347</v>
      </c>
      <c r="S150" s="113">
        <f>K150</f>
        <v>9795118</v>
      </c>
      <c r="T150" s="114">
        <f>SUM(J151:K151)</f>
        <v>140496</v>
      </c>
      <c r="U150" s="115">
        <f>J150</f>
        <v>237586835</v>
      </c>
    </row>
    <row r="151" spans="1:21" x14ac:dyDescent="0.25">
      <c r="A151" s="435"/>
      <c r="B151" s="435" t="s">
        <v>396</v>
      </c>
      <c r="C151" s="106">
        <v>16</v>
      </c>
      <c r="D151" s="106">
        <v>80877</v>
      </c>
      <c r="E151" s="106">
        <v>28992</v>
      </c>
      <c r="F151" s="106">
        <v>3.2399999999999998E-2</v>
      </c>
      <c r="G151" s="106">
        <v>1.1599999999999999E-2</v>
      </c>
      <c r="I151" t="s">
        <v>397</v>
      </c>
      <c r="J151" s="126">
        <f>D151</f>
        <v>80877</v>
      </c>
      <c r="K151" s="127">
        <f>D150</f>
        <v>59619</v>
      </c>
      <c r="L151" s="128">
        <f>D152</f>
        <v>50393</v>
      </c>
      <c r="M151" s="105">
        <f t="shared" ref="M151:M152" si="21">SUM(J151:L151)</f>
        <v>190889</v>
      </c>
      <c r="N151">
        <f>K151/(K151+J151)</f>
        <v>0.42434660061496415</v>
      </c>
    </row>
    <row r="152" spans="1:21" ht="15.75" thickBot="1" x14ac:dyDescent="0.3">
      <c r="A152" s="435"/>
      <c r="B152" s="435" t="s">
        <v>407</v>
      </c>
      <c r="C152" s="106">
        <v>24</v>
      </c>
      <c r="D152" s="106">
        <v>50393</v>
      </c>
      <c r="E152" s="106">
        <v>15463</v>
      </c>
      <c r="F152" s="106">
        <v>2.0199999999999999E-2</v>
      </c>
      <c r="G152" s="106">
        <v>6.1999999999999998E-3</v>
      </c>
      <c r="I152" t="s">
        <v>408</v>
      </c>
      <c r="J152" s="129">
        <f>D155</f>
        <v>82882</v>
      </c>
      <c r="K152" s="130">
        <f>D154</f>
        <v>144761</v>
      </c>
      <c r="L152" s="131">
        <f>D156</f>
        <v>101704</v>
      </c>
      <c r="M152" s="105">
        <f t="shared" si="21"/>
        <v>329347</v>
      </c>
    </row>
    <row r="153" spans="1:21" x14ac:dyDescent="0.25">
      <c r="A153" s="435"/>
      <c r="B153" s="435" t="s">
        <v>192</v>
      </c>
      <c r="C153" s="106">
        <v>75</v>
      </c>
      <c r="D153" s="106">
        <v>190890</v>
      </c>
      <c r="E153" s="106">
        <v>32812</v>
      </c>
      <c r="F153" s="106">
        <v>7.6399999999999996E-2</v>
      </c>
      <c r="G153" s="106">
        <v>1.32E-2</v>
      </c>
      <c r="J153" s="85">
        <f>SUM(J150:J152)</f>
        <v>237750594</v>
      </c>
      <c r="K153" s="85">
        <f>SUM(K150:K152)</f>
        <v>9999498</v>
      </c>
      <c r="L153" s="85">
        <f>SUM(L150:L152)</f>
        <v>2064995</v>
      </c>
    </row>
    <row r="154" spans="1:21" x14ac:dyDescent="0.25">
      <c r="A154" s="435" t="s">
        <v>401</v>
      </c>
      <c r="B154" s="435" t="s">
        <v>404</v>
      </c>
      <c r="C154" s="106">
        <v>36</v>
      </c>
      <c r="D154" s="106">
        <v>144761</v>
      </c>
      <c r="E154" s="106">
        <v>41808</v>
      </c>
      <c r="F154" s="106">
        <v>5.79E-2</v>
      </c>
      <c r="G154" s="106">
        <v>1.6799999999999999E-2</v>
      </c>
      <c r="J154">
        <f>J152/(J152+K152+L152)</f>
        <v>0.25165554870698686</v>
      </c>
      <c r="K154">
        <f>K152/(K152+J152+L152)</f>
        <v>0.43953945231017744</v>
      </c>
      <c r="L154">
        <f>L152/(K152+L152+J152)</f>
        <v>0.30880499898283575</v>
      </c>
    </row>
    <row r="155" spans="1:21" x14ac:dyDescent="0.25">
      <c r="A155" s="435"/>
      <c r="B155" s="435" t="s">
        <v>396</v>
      </c>
      <c r="C155" s="106">
        <v>24</v>
      </c>
      <c r="D155" s="106">
        <v>82882</v>
      </c>
      <c r="E155" s="106">
        <v>25267</v>
      </c>
      <c r="F155" s="106">
        <v>3.32E-2</v>
      </c>
      <c r="G155" s="106">
        <v>1.0200000000000001E-2</v>
      </c>
    </row>
    <row r="156" spans="1:21" x14ac:dyDescent="0.25">
      <c r="A156" s="435"/>
      <c r="B156" s="435" t="s">
        <v>407</v>
      </c>
      <c r="C156" s="106">
        <v>37</v>
      </c>
      <c r="D156" s="106">
        <v>101704</v>
      </c>
      <c r="E156" s="106">
        <v>31640</v>
      </c>
      <c r="F156" s="106">
        <v>4.07E-2</v>
      </c>
      <c r="G156" s="106">
        <v>1.2699999999999999E-2</v>
      </c>
      <c r="J156">
        <f>J151/(J151+K151)</f>
        <v>0.5756533993850359</v>
      </c>
      <c r="K156">
        <f>K151/(K151+J151)</f>
        <v>0.42434660061496415</v>
      </c>
    </row>
    <row r="157" spans="1:21" x14ac:dyDescent="0.25">
      <c r="A157" s="435"/>
      <c r="B157" s="435" t="s">
        <v>192</v>
      </c>
      <c r="C157" s="106">
        <v>97</v>
      </c>
      <c r="D157" s="106">
        <v>329348</v>
      </c>
      <c r="E157" s="106">
        <v>56402</v>
      </c>
      <c r="F157" s="106">
        <v>0.1318</v>
      </c>
      <c r="G157" s="106">
        <v>2.29E-2</v>
      </c>
    </row>
    <row r="158" spans="1:21" x14ac:dyDescent="0.25">
      <c r="A158" s="435" t="s">
        <v>396</v>
      </c>
      <c r="B158" s="435" t="s">
        <v>404</v>
      </c>
      <c r="C158" s="106">
        <v>3368</v>
      </c>
      <c r="D158" s="106">
        <v>9795118</v>
      </c>
      <c r="E158" s="106">
        <v>251141</v>
      </c>
      <c r="F158" s="106">
        <v>3.9209000000000001</v>
      </c>
      <c r="G158" s="106">
        <v>0.1084</v>
      </c>
    </row>
    <row r="159" spans="1:21" x14ac:dyDescent="0.25">
      <c r="A159" s="435"/>
      <c r="B159" s="435" t="s">
        <v>396</v>
      </c>
      <c r="C159" s="106">
        <v>50798</v>
      </c>
      <c r="D159" s="106">
        <v>237586835</v>
      </c>
      <c r="E159" s="106">
        <v>2656878</v>
      </c>
      <c r="F159" s="106">
        <v>95.105099999999993</v>
      </c>
      <c r="G159" s="106">
        <v>0.1079</v>
      </c>
    </row>
    <row r="160" spans="1:21" x14ac:dyDescent="0.25">
      <c r="A160" s="435"/>
      <c r="B160" s="435" t="s">
        <v>407</v>
      </c>
      <c r="C160" s="106">
        <v>772</v>
      </c>
      <c r="D160" s="106">
        <v>1912898</v>
      </c>
      <c r="E160" s="106">
        <v>98962</v>
      </c>
      <c r="F160" s="106">
        <v>0.76570000000000005</v>
      </c>
      <c r="G160" s="106">
        <v>4.0300000000000002E-2</v>
      </c>
    </row>
    <row r="161" spans="1:21" x14ac:dyDescent="0.25">
      <c r="A161" s="435"/>
      <c r="B161" s="435" t="s">
        <v>192</v>
      </c>
      <c r="C161" s="106">
        <v>54938</v>
      </c>
      <c r="D161" s="106">
        <v>249294851</v>
      </c>
      <c r="E161" s="106">
        <v>2651542</v>
      </c>
      <c r="F161" s="106">
        <v>99.791799999999995</v>
      </c>
      <c r="G161" s="106">
        <v>2.5999999999999999E-2</v>
      </c>
    </row>
    <row r="162" spans="1:21" x14ac:dyDescent="0.25">
      <c r="A162" s="435" t="s">
        <v>192</v>
      </c>
      <c r="B162" s="435" t="s">
        <v>404</v>
      </c>
      <c r="C162" s="106">
        <v>3439</v>
      </c>
      <c r="D162" s="106">
        <v>9999499</v>
      </c>
      <c r="E162" s="106">
        <v>259052</v>
      </c>
      <c r="F162" s="106">
        <v>4.0027999999999997</v>
      </c>
      <c r="G162" s="106">
        <v>0.11310000000000001</v>
      </c>
    </row>
    <row r="163" spans="1:21" x14ac:dyDescent="0.25">
      <c r="A163" s="435"/>
      <c r="B163" s="435" t="s">
        <v>396</v>
      </c>
      <c r="C163" s="106">
        <v>50838</v>
      </c>
      <c r="D163" s="106">
        <v>237750594</v>
      </c>
      <c r="E163" s="106">
        <v>2656407</v>
      </c>
      <c r="F163" s="106">
        <v>95.170599999999993</v>
      </c>
      <c r="G163" s="106">
        <v>0.1096</v>
      </c>
    </row>
    <row r="164" spans="1:21" x14ac:dyDescent="0.25">
      <c r="A164" s="435"/>
      <c r="B164" s="435" t="s">
        <v>407</v>
      </c>
      <c r="C164" s="106">
        <v>833</v>
      </c>
      <c r="D164" s="106">
        <v>2064996</v>
      </c>
      <c r="E164" s="106">
        <v>98901</v>
      </c>
      <c r="F164" s="106">
        <v>0.8266</v>
      </c>
      <c r="G164" s="106">
        <v>4.0599999999999997E-2</v>
      </c>
    </row>
    <row r="165" spans="1:21" x14ac:dyDescent="0.25">
      <c r="A165" s="435"/>
      <c r="B165" s="435" t="s">
        <v>192</v>
      </c>
      <c r="C165" s="106">
        <v>55110</v>
      </c>
      <c r="D165" s="106">
        <v>249815089</v>
      </c>
      <c r="E165" s="106">
        <v>2637688</v>
      </c>
      <c r="F165" s="106">
        <v>100</v>
      </c>
      <c r="G165" s="106"/>
    </row>
    <row r="166" spans="1:21" x14ac:dyDescent="0.25">
      <c r="A166" s="122"/>
    </row>
    <row r="167" spans="1:21" x14ac:dyDescent="0.25">
      <c r="A167" s="605" t="s">
        <v>385</v>
      </c>
      <c r="B167" s="605"/>
      <c r="C167" s="605"/>
      <c r="D167" s="605"/>
      <c r="E167" s="605"/>
      <c r="F167" s="605"/>
      <c r="G167" s="605"/>
    </row>
    <row r="168" spans="1:21" x14ac:dyDescent="0.25">
      <c r="A168" s="605" t="s">
        <v>430</v>
      </c>
      <c r="B168" s="605"/>
      <c r="C168" s="605"/>
      <c r="D168" s="605"/>
      <c r="E168" s="605"/>
      <c r="F168" s="605"/>
      <c r="G168" s="605"/>
    </row>
    <row r="169" spans="1:21" x14ac:dyDescent="0.25">
      <c r="A169" s="605" t="s">
        <v>388</v>
      </c>
      <c r="B169" s="605" t="s">
        <v>389</v>
      </c>
      <c r="C169" s="605" t="s">
        <v>390</v>
      </c>
      <c r="D169" s="435" t="s">
        <v>391</v>
      </c>
      <c r="E169" s="435" t="s">
        <v>392</v>
      </c>
      <c r="F169" s="605" t="s">
        <v>393</v>
      </c>
      <c r="G169" s="435" t="s">
        <v>392</v>
      </c>
      <c r="J169" t="s">
        <v>394</v>
      </c>
    </row>
    <row r="170" spans="1:21" ht="30.75" thickBot="1" x14ac:dyDescent="0.3">
      <c r="A170" s="605"/>
      <c r="B170" s="605"/>
      <c r="C170" s="605"/>
      <c r="D170" s="435" t="s">
        <v>390</v>
      </c>
      <c r="E170" s="435" t="s">
        <v>395</v>
      </c>
      <c r="F170" s="605"/>
      <c r="G170" s="435" t="s">
        <v>393</v>
      </c>
      <c r="I170">
        <v>2009</v>
      </c>
      <c r="J170" t="s">
        <v>396</v>
      </c>
      <c r="K170" t="s">
        <v>397</v>
      </c>
      <c r="L170" t="s">
        <v>398</v>
      </c>
      <c r="P170" s="48" t="s">
        <v>399</v>
      </c>
      <c r="Q170" s="48" t="s">
        <v>400</v>
      </c>
      <c r="R170" s="48" t="s">
        <v>401</v>
      </c>
      <c r="S170" t="s">
        <v>402</v>
      </c>
      <c r="T170" s="48" t="s">
        <v>403</v>
      </c>
      <c r="U170" s="48" t="s">
        <v>396</v>
      </c>
    </row>
    <row r="171" spans="1:21" ht="30" x14ac:dyDescent="0.25">
      <c r="A171" s="435" t="s">
        <v>404</v>
      </c>
      <c r="B171" s="435" t="s">
        <v>404</v>
      </c>
      <c r="C171" s="106">
        <v>28</v>
      </c>
      <c r="D171" s="106">
        <v>145500</v>
      </c>
      <c r="E171" s="106">
        <v>60721</v>
      </c>
      <c r="F171" s="106">
        <v>5.7799999999999997E-2</v>
      </c>
      <c r="G171" s="106">
        <v>2.4199999999999999E-2</v>
      </c>
      <c r="H171" t="s">
        <v>405</v>
      </c>
      <c r="I171" t="s">
        <v>396</v>
      </c>
      <c r="J171" s="123">
        <f>D180</f>
        <v>239100324</v>
      </c>
      <c r="K171" s="124">
        <f>D179</f>
        <v>9965813</v>
      </c>
      <c r="L171" s="125">
        <f>D181</f>
        <v>2039042</v>
      </c>
      <c r="M171" s="105">
        <f>SUM(J171:L171)</f>
        <v>251105179</v>
      </c>
      <c r="N171" s="214" t="s">
        <v>406</v>
      </c>
      <c r="P171" s="110">
        <f>L171</f>
        <v>2039042</v>
      </c>
      <c r="Q171" s="111">
        <f>L172</f>
        <v>72146</v>
      </c>
      <c r="R171" s="112">
        <f>SUM(J173:L173)</f>
        <v>423242</v>
      </c>
      <c r="S171" s="113">
        <f>K171</f>
        <v>9965813</v>
      </c>
      <c r="T171" s="114">
        <f>SUM(J172:K172)</f>
        <v>214966</v>
      </c>
      <c r="U171" s="115">
        <f>J171</f>
        <v>239100324</v>
      </c>
    </row>
    <row r="172" spans="1:21" x14ac:dyDescent="0.25">
      <c r="A172" s="435"/>
      <c r="B172" s="435" t="s">
        <v>396</v>
      </c>
      <c r="C172" s="106">
        <v>24</v>
      </c>
      <c r="D172" s="106">
        <v>69466</v>
      </c>
      <c r="E172" s="106">
        <v>22395</v>
      </c>
      <c r="F172" s="106">
        <v>2.76E-2</v>
      </c>
      <c r="G172" s="106">
        <v>8.8999999999999999E-3</v>
      </c>
      <c r="I172" t="s">
        <v>397</v>
      </c>
      <c r="J172" s="126">
        <f>D172</f>
        <v>69466</v>
      </c>
      <c r="K172" s="127">
        <f>D171</f>
        <v>145500</v>
      </c>
      <c r="L172" s="128">
        <f>D173</f>
        <v>72146</v>
      </c>
      <c r="M172" s="105">
        <f t="shared" ref="M172:M173" si="22">SUM(J172:L172)</f>
        <v>287112</v>
      </c>
      <c r="N172">
        <f>K172/(K172+J172)</f>
        <v>0.67685122298409983</v>
      </c>
    </row>
    <row r="173" spans="1:21" ht="15.75" thickBot="1" x14ac:dyDescent="0.3">
      <c r="A173" s="435"/>
      <c r="B173" s="435" t="s">
        <v>407</v>
      </c>
      <c r="C173" s="106">
        <v>39</v>
      </c>
      <c r="D173" s="106">
        <v>72146</v>
      </c>
      <c r="E173" s="106">
        <v>15561</v>
      </c>
      <c r="F173" s="106">
        <v>2.87E-2</v>
      </c>
      <c r="G173" s="106">
        <v>6.3E-3</v>
      </c>
      <c r="I173" t="s">
        <v>408</v>
      </c>
      <c r="J173" s="129">
        <f>D176</f>
        <v>143286</v>
      </c>
      <c r="K173" s="130">
        <f>D175</f>
        <v>126412</v>
      </c>
      <c r="L173" s="131">
        <f>D177</f>
        <v>153544</v>
      </c>
      <c r="M173" s="105">
        <f t="shared" si="22"/>
        <v>423242</v>
      </c>
    </row>
    <row r="174" spans="1:21" x14ac:dyDescent="0.25">
      <c r="A174" s="435"/>
      <c r="B174" s="435" t="s">
        <v>192</v>
      </c>
      <c r="C174" s="106">
        <v>91</v>
      </c>
      <c r="D174" s="106">
        <v>287112</v>
      </c>
      <c r="E174" s="106">
        <v>70036</v>
      </c>
      <c r="F174" s="106">
        <v>0.114</v>
      </c>
      <c r="G174" s="106">
        <v>2.8000000000000001E-2</v>
      </c>
      <c r="J174" s="85">
        <f>SUM(J171:J173)</f>
        <v>239313076</v>
      </c>
      <c r="K174" s="85">
        <f>SUM(K171:K173)</f>
        <v>10237725</v>
      </c>
      <c r="L174" s="85">
        <f>SUM(L171:L173)</f>
        <v>2264732</v>
      </c>
    </row>
    <row r="175" spans="1:21" x14ac:dyDescent="0.25">
      <c r="A175" s="435" t="s">
        <v>401</v>
      </c>
      <c r="B175" s="435" t="s">
        <v>404</v>
      </c>
      <c r="C175" s="106">
        <v>27</v>
      </c>
      <c r="D175" s="106">
        <v>126412</v>
      </c>
      <c r="E175" s="106">
        <v>40776</v>
      </c>
      <c r="F175" s="106">
        <v>5.0200000000000002E-2</v>
      </c>
      <c r="G175" s="106">
        <v>1.6199999999999999E-2</v>
      </c>
      <c r="J175">
        <f>J173/(J173+K173+L173)</f>
        <v>0.3385439063230965</v>
      </c>
      <c r="K175">
        <f>K173/(K173+J173+L173)</f>
        <v>0.29867546226508712</v>
      </c>
      <c r="L175">
        <f>L173/(K173+L173+J173)</f>
        <v>0.36278063141181643</v>
      </c>
    </row>
    <row r="176" spans="1:21" x14ac:dyDescent="0.25">
      <c r="A176" s="435"/>
      <c r="B176" s="435" t="s">
        <v>396</v>
      </c>
      <c r="C176" s="106">
        <v>26</v>
      </c>
      <c r="D176" s="106">
        <v>143286</v>
      </c>
      <c r="E176" s="106">
        <v>48268</v>
      </c>
      <c r="F176" s="106">
        <v>5.6899999999999999E-2</v>
      </c>
      <c r="G176" s="106">
        <v>1.9199999999999998E-2</v>
      </c>
    </row>
    <row r="177" spans="1:21" x14ac:dyDescent="0.25">
      <c r="A177" s="435"/>
      <c r="B177" s="435" t="s">
        <v>407</v>
      </c>
      <c r="C177" s="106">
        <v>64</v>
      </c>
      <c r="D177" s="106">
        <v>153544</v>
      </c>
      <c r="E177" s="106">
        <v>27873</v>
      </c>
      <c r="F177" s="106">
        <v>6.0999999999999999E-2</v>
      </c>
      <c r="G177" s="106">
        <v>1.0999999999999999E-2</v>
      </c>
      <c r="J177">
        <f>J172/(J172+K172)</f>
        <v>0.32314877701590017</v>
      </c>
      <c r="K177">
        <f>K172/(K172+J172)</f>
        <v>0.67685122298409983</v>
      </c>
    </row>
    <row r="178" spans="1:21" x14ac:dyDescent="0.25">
      <c r="A178" s="435"/>
      <c r="B178" s="435" t="s">
        <v>192</v>
      </c>
      <c r="C178" s="106">
        <v>117</v>
      </c>
      <c r="D178" s="106">
        <v>423242</v>
      </c>
      <c r="E178" s="106">
        <v>68313</v>
      </c>
      <c r="F178" s="106">
        <v>0.1681</v>
      </c>
      <c r="G178" s="106">
        <v>2.69E-2</v>
      </c>
    </row>
    <row r="179" spans="1:21" x14ac:dyDescent="0.25">
      <c r="A179" s="435" t="s">
        <v>396</v>
      </c>
      <c r="B179" s="435" t="s">
        <v>404</v>
      </c>
      <c r="C179" s="106">
        <v>3429</v>
      </c>
      <c r="D179" s="106">
        <v>9965813</v>
      </c>
      <c r="E179" s="106">
        <v>284997</v>
      </c>
      <c r="F179" s="106">
        <v>3.9575999999999998</v>
      </c>
      <c r="G179" s="106">
        <v>0.11409999999999999</v>
      </c>
    </row>
    <row r="180" spans="1:21" x14ac:dyDescent="0.25">
      <c r="A180" s="435"/>
      <c r="B180" s="435" t="s">
        <v>396</v>
      </c>
      <c r="C180" s="106">
        <v>50842</v>
      </c>
      <c r="D180" s="106">
        <v>239100324</v>
      </c>
      <c r="E180" s="106">
        <v>2730842</v>
      </c>
      <c r="F180" s="106">
        <v>94.950599999999994</v>
      </c>
      <c r="G180" s="106">
        <v>0.13289999999999999</v>
      </c>
    </row>
    <row r="181" spans="1:21" x14ac:dyDescent="0.25">
      <c r="A181" s="435"/>
      <c r="B181" s="435" t="s">
        <v>407</v>
      </c>
      <c r="C181" s="106">
        <v>755</v>
      </c>
      <c r="D181" s="106">
        <v>2039042</v>
      </c>
      <c r="E181" s="106">
        <v>110805</v>
      </c>
      <c r="F181" s="106">
        <v>0.80969999999999998</v>
      </c>
      <c r="G181" s="106">
        <v>4.5699999999999998E-2</v>
      </c>
    </row>
    <row r="182" spans="1:21" x14ac:dyDescent="0.25">
      <c r="A182" s="435"/>
      <c r="B182" s="435" t="s">
        <v>192</v>
      </c>
      <c r="C182" s="106">
        <v>55026</v>
      </c>
      <c r="D182" s="106">
        <v>251105179</v>
      </c>
      <c r="E182" s="106">
        <v>2751644</v>
      </c>
      <c r="F182" s="106">
        <v>99.7179</v>
      </c>
      <c r="G182" s="106">
        <v>3.6499999999999998E-2</v>
      </c>
    </row>
    <row r="183" spans="1:21" x14ac:dyDescent="0.25">
      <c r="A183" s="435" t="s">
        <v>192</v>
      </c>
      <c r="B183" s="435" t="s">
        <v>404</v>
      </c>
      <c r="C183" s="106">
        <v>3484</v>
      </c>
      <c r="D183" s="106">
        <v>10237725</v>
      </c>
      <c r="E183" s="106">
        <v>293280</v>
      </c>
      <c r="F183" s="106">
        <v>4.0655999999999999</v>
      </c>
      <c r="G183" s="106">
        <v>0.1183</v>
      </c>
    </row>
    <row r="184" spans="1:21" x14ac:dyDescent="0.25">
      <c r="A184" s="435"/>
      <c r="B184" s="435" t="s">
        <v>396</v>
      </c>
      <c r="C184" s="106">
        <v>50892</v>
      </c>
      <c r="D184" s="106">
        <v>239313076</v>
      </c>
      <c r="E184" s="106">
        <v>2733032</v>
      </c>
      <c r="F184" s="106">
        <v>95.0351</v>
      </c>
      <c r="G184" s="106">
        <v>0.12820000000000001</v>
      </c>
    </row>
    <row r="185" spans="1:21" x14ac:dyDescent="0.25">
      <c r="A185" s="435"/>
      <c r="B185" s="435" t="s">
        <v>407</v>
      </c>
      <c r="C185" s="106">
        <v>858</v>
      </c>
      <c r="D185" s="106">
        <v>2264732</v>
      </c>
      <c r="E185" s="106">
        <v>114318</v>
      </c>
      <c r="F185" s="106">
        <v>0.89939999999999998</v>
      </c>
      <c r="G185" s="106">
        <v>4.7300000000000002E-2</v>
      </c>
    </row>
    <row r="186" spans="1:21" x14ac:dyDescent="0.25">
      <c r="A186" s="435"/>
      <c r="B186" s="435" t="s">
        <v>192</v>
      </c>
      <c r="C186" s="106">
        <v>55234</v>
      </c>
      <c r="D186" s="106">
        <v>251815533</v>
      </c>
      <c r="E186" s="106">
        <v>2749174</v>
      </c>
      <c r="F186" s="106">
        <v>100</v>
      </c>
      <c r="G186" s="106"/>
    </row>
    <row r="187" spans="1:21" x14ac:dyDescent="0.25">
      <c r="A187" s="122"/>
    </row>
    <row r="188" spans="1:21" x14ac:dyDescent="0.25">
      <c r="A188" s="605" t="s">
        <v>385</v>
      </c>
      <c r="B188" s="605"/>
      <c r="C188" s="605"/>
      <c r="D188" s="605"/>
      <c r="E188" s="605"/>
      <c r="F188" s="605"/>
      <c r="G188" s="605"/>
    </row>
    <row r="189" spans="1:21" x14ac:dyDescent="0.25">
      <c r="A189" s="605" t="s">
        <v>431</v>
      </c>
      <c r="B189" s="605"/>
      <c r="C189" s="605"/>
      <c r="D189" s="605"/>
      <c r="E189" s="605"/>
      <c r="F189" s="605"/>
      <c r="G189" s="605"/>
    </row>
    <row r="190" spans="1:21" x14ac:dyDescent="0.25">
      <c r="A190" s="605" t="s">
        <v>388</v>
      </c>
      <c r="B190" s="605" t="s">
        <v>389</v>
      </c>
      <c r="C190" s="605" t="s">
        <v>390</v>
      </c>
      <c r="D190" s="435" t="s">
        <v>391</v>
      </c>
      <c r="E190" s="435" t="s">
        <v>392</v>
      </c>
      <c r="F190" s="605" t="s">
        <v>393</v>
      </c>
      <c r="G190" s="435" t="s">
        <v>392</v>
      </c>
      <c r="J190" t="s">
        <v>394</v>
      </c>
    </row>
    <row r="191" spans="1:21" ht="30.75" thickBot="1" x14ac:dyDescent="0.3">
      <c r="A191" s="605"/>
      <c r="B191" s="605"/>
      <c r="C191" s="605"/>
      <c r="D191" s="435" t="s">
        <v>390</v>
      </c>
      <c r="E191" s="435" t="s">
        <v>395</v>
      </c>
      <c r="F191" s="605"/>
      <c r="G191" s="435" t="s">
        <v>393</v>
      </c>
      <c r="I191">
        <v>2010</v>
      </c>
      <c r="J191" t="s">
        <v>396</v>
      </c>
      <c r="K191" t="s">
        <v>397</v>
      </c>
      <c r="L191" t="s">
        <v>398</v>
      </c>
      <c r="P191" s="48" t="s">
        <v>399</v>
      </c>
      <c r="Q191" s="48" t="s">
        <v>400</v>
      </c>
      <c r="R191" s="48" t="s">
        <v>401</v>
      </c>
      <c r="S191" t="s">
        <v>402</v>
      </c>
      <c r="T191" s="48" t="s">
        <v>403</v>
      </c>
      <c r="U191" s="48" t="s">
        <v>396</v>
      </c>
    </row>
    <row r="192" spans="1:21" ht="30" x14ac:dyDescent="0.25">
      <c r="A192" s="435" t="s">
        <v>404</v>
      </c>
      <c r="B192" s="435" t="s">
        <v>404</v>
      </c>
      <c r="C192" s="106">
        <v>27</v>
      </c>
      <c r="D192" s="106">
        <v>69489</v>
      </c>
      <c r="E192" s="106">
        <v>18870</v>
      </c>
      <c r="F192" s="106">
        <v>2.7400000000000001E-2</v>
      </c>
      <c r="G192" s="106">
        <v>7.4000000000000003E-3</v>
      </c>
      <c r="H192" t="s">
        <v>405</v>
      </c>
      <c r="I192" t="s">
        <v>396</v>
      </c>
      <c r="J192" s="123">
        <f>D201</f>
        <v>240974597</v>
      </c>
      <c r="K192" s="124">
        <f>D200</f>
        <v>9823494</v>
      </c>
      <c r="L192" s="125">
        <f>D202</f>
        <v>2140500</v>
      </c>
      <c r="M192" s="105">
        <f>SUM(J192:L192)</f>
        <v>252938591</v>
      </c>
      <c r="N192" s="214" t="s">
        <v>406</v>
      </c>
      <c r="P192" s="110">
        <f>L192</f>
        <v>2140500</v>
      </c>
      <c r="Q192" s="111">
        <f>L193</f>
        <v>105068</v>
      </c>
      <c r="R192" s="112">
        <f>SUM(J194:L194)</f>
        <v>429287</v>
      </c>
      <c r="S192" s="113">
        <f>K192</f>
        <v>9823494</v>
      </c>
      <c r="T192" s="114">
        <f>SUM(J193:K193)</f>
        <v>146161</v>
      </c>
      <c r="U192" s="115">
        <f>J192</f>
        <v>240974597</v>
      </c>
    </row>
    <row r="193" spans="1:14" x14ac:dyDescent="0.25">
      <c r="A193" s="435"/>
      <c r="B193" s="435" t="s">
        <v>396</v>
      </c>
      <c r="C193" s="106">
        <v>21</v>
      </c>
      <c r="D193" s="106">
        <v>76672</v>
      </c>
      <c r="E193" s="106">
        <v>30343</v>
      </c>
      <c r="F193" s="106">
        <v>3.0200000000000001E-2</v>
      </c>
      <c r="G193" s="106">
        <v>1.1900000000000001E-2</v>
      </c>
      <c r="I193" t="s">
        <v>397</v>
      </c>
      <c r="J193" s="126">
        <f>D193</f>
        <v>76672</v>
      </c>
      <c r="K193" s="127">
        <f>D192</f>
        <v>69489</v>
      </c>
      <c r="L193" s="128">
        <f>D194</f>
        <v>105068</v>
      </c>
      <c r="M193" s="105">
        <f t="shared" ref="M193:M194" si="23">SUM(J193:L193)</f>
        <v>251229</v>
      </c>
      <c r="N193">
        <f>K193/(K193+J193)</f>
        <v>0.47542778169279082</v>
      </c>
    </row>
    <row r="194" spans="1:14" ht="15.75" thickBot="1" x14ac:dyDescent="0.3">
      <c r="A194" s="435"/>
      <c r="B194" s="435" t="s">
        <v>407</v>
      </c>
      <c r="C194" s="106">
        <v>28</v>
      </c>
      <c r="D194" s="106">
        <v>105068</v>
      </c>
      <c r="E194" s="106">
        <v>25775</v>
      </c>
      <c r="F194" s="106">
        <v>4.1399999999999999E-2</v>
      </c>
      <c r="G194" s="106">
        <v>1.01E-2</v>
      </c>
      <c r="I194" t="s">
        <v>408</v>
      </c>
      <c r="J194" s="129">
        <f>D197</f>
        <v>128933</v>
      </c>
      <c r="K194" s="130">
        <f>D196</f>
        <v>76070</v>
      </c>
      <c r="L194" s="131">
        <f>D198</f>
        <v>224284</v>
      </c>
      <c r="M194" s="105">
        <f t="shared" si="23"/>
        <v>429287</v>
      </c>
    </row>
    <row r="195" spans="1:14" x14ac:dyDescent="0.25">
      <c r="A195" s="435"/>
      <c r="B195" s="435" t="s">
        <v>192</v>
      </c>
      <c r="C195" s="106">
        <v>76</v>
      </c>
      <c r="D195" s="106">
        <v>251229</v>
      </c>
      <c r="E195" s="106">
        <v>44286</v>
      </c>
      <c r="F195" s="106">
        <v>9.9099999999999994E-2</v>
      </c>
      <c r="G195" s="106">
        <v>1.72E-2</v>
      </c>
      <c r="J195" s="85">
        <f>SUM(J192:J194)</f>
        <v>241180202</v>
      </c>
      <c r="K195" s="85">
        <f>SUM(K192:K194)</f>
        <v>9969053</v>
      </c>
      <c r="L195" s="85">
        <f>SUM(L192:L194)</f>
        <v>2469852</v>
      </c>
    </row>
    <row r="196" spans="1:14" x14ac:dyDescent="0.25">
      <c r="A196" s="435" t="s">
        <v>401</v>
      </c>
      <c r="B196" s="435" t="s">
        <v>404</v>
      </c>
      <c r="C196" s="106">
        <v>30</v>
      </c>
      <c r="D196" s="106">
        <v>76070</v>
      </c>
      <c r="E196" s="106">
        <v>21622</v>
      </c>
      <c r="F196" s="106">
        <v>0.03</v>
      </c>
      <c r="G196" s="106">
        <v>8.3999999999999995E-3</v>
      </c>
      <c r="J196">
        <f>J194/(J194+K194+L194)</f>
        <v>0.30034219531455647</v>
      </c>
      <c r="K196">
        <f>K194/(K194+J194+L194)</f>
        <v>0.17720080039693725</v>
      </c>
      <c r="L196">
        <f>L194/(K194+L194+J194)</f>
        <v>0.52245700428850628</v>
      </c>
    </row>
    <row r="197" spans="1:14" x14ac:dyDescent="0.25">
      <c r="A197" s="435"/>
      <c r="B197" s="435" t="s">
        <v>396</v>
      </c>
      <c r="C197" s="106">
        <v>26</v>
      </c>
      <c r="D197" s="106">
        <v>128933</v>
      </c>
      <c r="E197" s="106">
        <v>33570</v>
      </c>
      <c r="F197" s="106">
        <v>5.0799999999999998E-2</v>
      </c>
      <c r="G197" s="106">
        <v>1.32E-2</v>
      </c>
    </row>
    <row r="198" spans="1:14" x14ac:dyDescent="0.25">
      <c r="A198" s="435"/>
      <c r="B198" s="435" t="s">
        <v>407</v>
      </c>
      <c r="C198" s="106">
        <v>54</v>
      </c>
      <c r="D198" s="106">
        <v>224284</v>
      </c>
      <c r="E198" s="106">
        <v>48304</v>
      </c>
      <c r="F198" s="106">
        <v>8.8400000000000006E-2</v>
      </c>
      <c r="G198" s="106">
        <v>1.89E-2</v>
      </c>
      <c r="J198">
        <f>J193/(J193+K193)</f>
        <v>0.52457221830720913</v>
      </c>
      <c r="K198">
        <f>K193/(K193+J193)</f>
        <v>0.47542778169279082</v>
      </c>
    </row>
    <row r="199" spans="1:14" x14ac:dyDescent="0.25">
      <c r="A199" s="435"/>
      <c r="B199" s="435" t="s">
        <v>192</v>
      </c>
      <c r="C199" s="106">
        <v>110</v>
      </c>
      <c r="D199" s="106">
        <v>429287</v>
      </c>
      <c r="E199" s="106">
        <v>64239</v>
      </c>
      <c r="F199" s="106">
        <v>0.16930000000000001</v>
      </c>
      <c r="G199" s="106">
        <v>2.4899999999999999E-2</v>
      </c>
    </row>
    <row r="200" spans="1:14" x14ac:dyDescent="0.25">
      <c r="A200" s="435" t="s">
        <v>396</v>
      </c>
      <c r="B200" s="435" t="s">
        <v>404</v>
      </c>
      <c r="C200" s="106">
        <v>3205</v>
      </c>
      <c r="D200" s="106">
        <v>9823494</v>
      </c>
      <c r="E200" s="106">
        <v>283919</v>
      </c>
      <c r="F200" s="106">
        <v>3.8733</v>
      </c>
      <c r="G200" s="106">
        <v>0.10050000000000001</v>
      </c>
    </row>
    <row r="201" spans="1:14" x14ac:dyDescent="0.25">
      <c r="A201" s="435"/>
      <c r="B201" s="435" t="s">
        <v>396</v>
      </c>
      <c r="C201" s="106">
        <v>53193</v>
      </c>
      <c r="D201" s="106">
        <v>240974597</v>
      </c>
      <c r="E201" s="106">
        <v>2588256</v>
      </c>
      <c r="F201" s="106">
        <v>95.014399999999995</v>
      </c>
      <c r="G201" s="106">
        <v>0.12709999999999999</v>
      </c>
    </row>
    <row r="202" spans="1:14" x14ac:dyDescent="0.25">
      <c r="A202" s="435"/>
      <c r="B202" s="435" t="s">
        <v>407</v>
      </c>
      <c r="C202" s="106">
        <v>729</v>
      </c>
      <c r="D202" s="106">
        <v>2140500</v>
      </c>
      <c r="E202" s="106">
        <v>176785</v>
      </c>
      <c r="F202" s="106">
        <v>0.84399999999999997</v>
      </c>
      <c r="G202" s="106">
        <v>6.8000000000000005E-2</v>
      </c>
    </row>
    <row r="203" spans="1:14" x14ac:dyDescent="0.25">
      <c r="A203" s="435"/>
      <c r="B203" s="435" t="s">
        <v>192</v>
      </c>
      <c r="C203" s="106">
        <v>57127</v>
      </c>
      <c r="D203" s="106">
        <v>252938591</v>
      </c>
      <c r="E203" s="106">
        <v>2740766</v>
      </c>
      <c r="F203" s="106">
        <v>99.731700000000004</v>
      </c>
      <c r="G203" s="106">
        <v>2.9600000000000001E-2</v>
      </c>
    </row>
    <row r="204" spans="1:14" x14ac:dyDescent="0.25">
      <c r="A204" s="435" t="s">
        <v>192</v>
      </c>
      <c r="B204" s="435" t="s">
        <v>404</v>
      </c>
      <c r="C204" s="106">
        <v>3262</v>
      </c>
      <c r="D204" s="106">
        <v>9969053</v>
      </c>
      <c r="E204" s="106">
        <v>286503</v>
      </c>
      <c r="F204" s="106">
        <v>3.9306999999999999</v>
      </c>
      <c r="G204" s="106">
        <v>0.10050000000000001</v>
      </c>
    </row>
    <row r="205" spans="1:14" x14ac:dyDescent="0.25">
      <c r="A205" s="435"/>
      <c r="B205" s="435" t="s">
        <v>396</v>
      </c>
      <c r="C205" s="106">
        <v>53240</v>
      </c>
      <c r="D205" s="106">
        <v>241180202</v>
      </c>
      <c r="E205" s="106">
        <v>2596993</v>
      </c>
      <c r="F205" s="106">
        <v>95.095399999999998</v>
      </c>
      <c r="G205" s="106">
        <v>0.1242</v>
      </c>
    </row>
    <row r="206" spans="1:14" x14ac:dyDescent="0.25">
      <c r="A206" s="435"/>
      <c r="B206" s="435" t="s">
        <v>407</v>
      </c>
      <c r="C206" s="106">
        <v>811</v>
      </c>
      <c r="D206" s="106">
        <v>2469852</v>
      </c>
      <c r="E206" s="106">
        <v>186125</v>
      </c>
      <c r="F206" s="106">
        <v>0.9738</v>
      </c>
      <c r="G206" s="106">
        <v>7.0999999999999994E-2</v>
      </c>
    </row>
    <row r="207" spans="1:14" x14ac:dyDescent="0.25">
      <c r="A207" s="435"/>
      <c r="B207" s="435" t="s">
        <v>192</v>
      </c>
      <c r="C207" s="106">
        <v>57313</v>
      </c>
      <c r="D207" s="106">
        <v>253619107</v>
      </c>
      <c r="E207" s="106">
        <v>2765635</v>
      </c>
      <c r="F207" s="106">
        <v>100</v>
      </c>
      <c r="G207" s="106"/>
    </row>
    <row r="208" spans="1:14" x14ac:dyDescent="0.25">
      <c r="A208" s="122"/>
    </row>
    <row r="209" spans="1:21" x14ac:dyDescent="0.25">
      <c r="A209" s="605" t="s">
        <v>385</v>
      </c>
      <c r="B209" s="605"/>
      <c r="C209" s="605"/>
      <c r="D209" s="605"/>
      <c r="E209" s="605"/>
      <c r="F209" s="605"/>
      <c r="G209" s="605"/>
    </row>
    <row r="210" spans="1:21" x14ac:dyDescent="0.25">
      <c r="A210" s="605" t="s">
        <v>432</v>
      </c>
      <c r="B210" s="605"/>
      <c r="C210" s="605"/>
      <c r="D210" s="605"/>
      <c r="E210" s="605"/>
      <c r="F210" s="605"/>
      <c r="G210" s="605"/>
    </row>
    <row r="211" spans="1:21" x14ac:dyDescent="0.25">
      <c r="A211" s="605" t="s">
        <v>388</v>
      </c>
      <c r="B211" s="605" t="s">
        <v>389</v>
      </c>
      <c r="C211" s="605" t="s">
        <v>390</v>
      </c>
      <c r="D211" s="435" t="s">
        <v>391</v>
      </c>
      <c r="E211" s="435" t="s">
        <v>392</v>
      </c>
      <c r="F211" s="605" t="s">
        <v>393</v>
      </c>
      <c r="G211" s="435" t="s">
        <v>392</v>
      </c>
      <c r="J211" t="s">
        <v>394</v>
      </c>
    </row>
    <row r="212" spans="1:21" ht="30.75" thickBot="1" x14ac:dyDescent="0.3">
      <c r="A212" s="605"/>
      <c r="B212" s="605"/>
      <c r="C212" s="605"/>
      <c r="D212" s="435" t="s">
        <v>390</v>
      </c>
      <c r="E212" s="435" t="s">
        <v>395</v>
      </c>
      <c r="F212" s="605"/>
      <c r="G212" s="435" t="s">
        <v>393</v>
      </c>
      <c r="I212">
        <v>2011</v>
      </c>
      <c r="J212" t="s">
        <v>396</v>
      </c>
      <c r="K212" t="s">
        <v>397</v>
      </c>
      <c r="L212" t="s">
        <v>398</v>
      </c>
      <c r="P212" s="48" t="s">
        <v>399</v>
      </c>
      <c r="Q212" s="48" t="s">
        <v>400</v>
      </c>
      <c r="R212" s="48" t="s">
        <v>401</v>
      </c>
      <c r="S212" t="s">
        <v>402</v>
      </c>
      <c r="T212" s="48" t="s">
        <v>403</v>
      </c>
      <c r="U212" s="48" t="s">
        <v>396</v>
      </c>
    </row>
    <row r="213" spans="1:21" ht="30" x14ac:dyDescent="0.25">
      <c r="A213" s="435" t="s">
        <v>404</v>
      </c>
      <c r="B213" s="435" t="s">
        <v>404</v>
      </c>
      <c r="C213" s="106">
        <v>29</v>
      </c>
      <c r="D213" s="106">
        <v>63488</v>
      </c>
      <c r="E213" s="106">
        <v>17064</v>
      </c>
      <c r="F213" s="106">
        <v>2.46E-2</v>
      </c>
      <c r="G213" s="106">
        <v>6.7000000000000002E-3</v>
      </c>
      <c r="H213" t="s">
        <v>405</v>
      </c>
      <c r="I213" t="s">
        <v>396</v>
      </c>
      <c r="J213" s="123">
        <f>D222</f>
        <v>246212048</v>
      </c>
      <c r="K213" s="124">
        <f>D221</f>
        <v>8794760</v>
      </c>
      <c r="L213" s="125">
        <f>D223</f>
        <v>1898575</v>
      </c>
      <c r="M213" s="105">
        <f>SUM(J213:L213)</f>
        <v>256905383</v>
      </c>
      <c r="N213" s="214" t="s">
        <v>406</v>
      </c>
      <c r="P213" s="110">
        <f>L213</f>
        <v>1898575</v>
      </c>
      <c r="Q213" s="111">
        <f>L214</f>
        <v>47420</v>
      </c>
      <c r="R213" s="112">
        <f>SUM(J215:L215)</f>
        <v>511316</v>
      </c>
      <c r="S213" s="113">
        <f>K213</f>
        <v>8794760</v>
      </c>
      <c r="T213" s="114">
        <f>SUM(J214:K214)</f>
        <v>134826</v>
      </c>
      <c r="U213" s="115">
        <f>J213</f>
        <v>246212048</v>
      </c>
    </row>
    <row r="214" spans="1:21" x14ac:dyDescent="0.25">
      <c r="A214" s="435"/>
      <c r="B214" s="435" t="s">
        <v>396</v>
      </c>
      <c r="C214" s="106">
        <v>27</v>
      </c>
      <c r="D214" s="106">
        <v>71338</v>
      </c>
      <c r="E214" s="106">
        <v>25609</v>
      </c>
      <c r="F214" s="106">
        <v>2.7699999999999999E-2</v>
      </c>
      <c r="G214" s="106">
        <v>0.01</v>
      </c>
      <c r="I214" t="s">
        <v>397</v>
      </c>
      <c r="J214" s="126">
        <f>D214</f>
        <v>71338</v>
      </c>
      <c r="K214" s="127">
        <f>D213</f>
        <v>63488</v>
      </c>
      <c r="L214" s="128">
        <f>D215</f>
        <v>47420</v>
      </c>
      <c r="M214" s="105">
        <f t="shared" ref="M214:M215" si="24">SUM(J214:L214)</f>
        <v>182246</v>
      </c>
      <c r="N214">
        <f>K214/(K214+J214)</f>
        <v>0.47088840431370804</v>
      </c>
    </row>
    <row r="215" spans="1:21" ht="15.75" thickBot="1" x14ac:dyDescent="0.3">
      <c r="A215" s="435"/>
      <c r="B215" s="435" t="s">
        <v>407</v>
      </c>
      <c r="C215" s="106">
        <v>32</v>
      </c>
      <c r="D215" s="106">
        <v>47420</v>
      </c>
      <c r="E215" s="106">
        <v>9724</v>
      </c>
      <c r="F215" s="106">
        <v>1.84E-2</v>
      </c>
      <c r="G215" s="106">
        <v>3.8E-3</v>
      </c>
      <c r="I215" t="s">
        <v>408</v>
      </c>
      <c r="J215" s="129">
        <f>D218</f>
        <v>145969</v>
      </c>
      <c r="K215" s="130">
        <f>D217</f>
        <v>107565</v>
      </c>
      <c r="L215" s="131">
        <f>D219</f>
        <v>257782</v>
      </c>
      <c r="M215" s="105">
        <f t="shared" si="24"/>
        <v>511316</v>
      </c>
    </row>
    <row r="216" spans="1:21" x14ac:dyDescent="0.25">
      <c r="A216" s="435"/>
      <c r="B216" s="435" t="s">
        <v>192</v>
      </c>
      <c r="C216" s="106">
        <v>88</v>
      </c>
      <c r="D216" s="106">
        <v>182246</v>
      </c>
      <c r="E216" s="106">
        <v>32438</v>
      </c>
      <c r="F216" s="106">
        <v>7.0699999999999999E-2</v>
      </c>
      <c r="G216" s="106">
        <v>1.2699999999999999E-2</v>
      </c>
      <c r="J216" s="85">
        <f>SUM(J213:J215)</f>
        <v>246429355</v>
      </c>
      <c r="K216" s="85">
        <f>SUM(K213:K215)</f>
        <v>8965813</v>
      </c>
      <c r="L216" s="85">
        <f>SUM(L213:L215)</f>
        <v>2203777</v>
      </c>
    </row>
    <row r="217" spans="1:21" x14ac:dyDescent="0.25">
      <c r="A217" s="435" t="s">
        <v>401</v>
      </c>
      <c r="B217" s="435" t="s">
        <v>404</v>
      </c>
      <c r="C217" s="106">
        <v>29</v>
      </c>
      <c r="D217" s="106">
        <v>107565</v>
      </c>
      <c r="E217" s="106">
        <v>26929</v>
      </c>
      <c r="F217" s="106">
        <v>4.1799999999999997E-2</v>
      </c>
      <c r="G217" s="106">
        <v>1.0500000000000001E-2</v>
      </c>
      <c r="J217">
        <f>J215/(J215+K215+L215)</f>
        <v>0.28547708266512295</v>
      </c>
      <c r="K217">
        <f>K215/(K215+J215+L215)</f>
        <v>0.21036893036791338</v>
      </c>
      <c r="L217">
        <f>L215/(K215+L215+J215)</f>
        <v>0.50415398696696367</v>
      </c>
    </row>
    <row r="218" spans="1:21" x14ac:dyDescent="0.25">
      <c r="A218" s="435"/>
      <c r="B218" s="435" t="s">
        <v>396</v>
      </c>
      <c r="C218" s="106">
        <v>34</v>
      </c>
      <c r="D218" s="106">
        <v>145969</v>
      </c>
      <c r="E218" s="106">
        <v>38063</v>
      </c>
      <c r="F218" s="106">
        <v>5.67E-2</v>
      </c>
      <c r="G218" s="106">
        <v>1.4800000000000001E-2</v>
      </c>
    </row>
    <row r="219" spans="1:21" x14ac:dyDescent="0.25">
      <c r="A219" s="435"/>
      <c r="B219" s="435" t="s">
        <v>407</v>
      </c>
      <c r="C219" s="106">
        <v>68</v>
      </c>
      <c r="D219" s="106">
        <v>257782</v>
      </c>
      <c r="E219" s="106">
        <v>54252</v>
      </c>
      <c r="F219" s="106">
        <v>0.10009999999999999</v>
      </c>
      <c r="G219" s="106">
        <v>2.12E-2</v>
      </c>
      <c r="J219">
        <f>J214/(J214+K214)</f>
        <v>0.52911159568629196</v>
      </c>
      <c r="K219">
        <f>K214/(K214+J214)</f>
        <v>0.47088840431370804</v>
      </c>
    </row>
    <row r="220" spans="1:21" x14ac:dyDescent="0.25">
      <c r="A220" s="435"/>
      <c r="B220" s="435" t="s">
        <v>192</v>
      </c>
      <c r="C220" s="106">
        <v>131</v>
      </c>
      <c r="D220" s="106">
        <v>511316</v>
      </c>
      <c r="E220" s="106">
        <v>73390</v>
      </c>
      <c r="F220" s="106">
        <v>0.19850000000000001</v>
      </c>
      <c r="G220" s="106">
        <v>2.8799999999999999E-2</v>
      </c>
    </row>
    <row r="221" spans="1:21" x14ac:dyDescent="0.25">
      <c r="A221" s="435" t="s">
        <v>396</v>
      </c>
      <c r="B221" s="435" t="s">
        <v>404</v>
      </c>
      <c r="C221" s="106">
        <v>3095</v>
      </c>
      <c r="D221" s="106">
        <v>8794760</v>
      </c>
      <c r="E221" s="106">
        <v>318461</v>
      </c>
      <c r="F221" s="106">
        <v>3.4140999999999999</v>
      </c>
      <c r="G221" s="106">
        <v>0.1183</v>
      </c>
    </row>
    <row r="222" spans="1:21" x14ac:dyDescent="0.25">
      <c r="A222" s="435"/>
      <c r="B222" s="435" t="s">
        <v>396</v>
      </c>
      <c r="C222" s="106">
        <v>54376</v>
      </c>
      <c r="D222" s="106">
        <v>246212048</v>
      </c>
      <c r="E222" s="106">
        <v>2487824</v>
      </c>
      <c r="F222" s="106">
        <v>95.579599999999999</v>
      </c>
      <c r="G222" s="106">
        <v>0.13780000000000001</v>
      </c>
    </row>
    <row r="223" spans="1:21" x14ac:dyDescent="0.25">
      <c r="A223" s="435"/>
      <c r="B223" s="435" t="s">
        <v>407</v>
      </c>
      <c r="C223" s="106">
        <v>707</v>
      </c>
      <c r="D223" s="106">
        <v>1898575</v>
      </c>
      <c r="E223" s="106">
        <v>116180</v>
      </c>
      <c r="F223" s="106">
        <v>0.73699999999999999</v>
      </c>
      <c r="G223" s="106">
        <v>4.5499999999999999E-2</v>
      </c>
    </row>
    <row r="224" spans="1:21" x14ac:dyDescent="0.25">
      <c r="A224" s="435"/>
      <c r="B224" s="435" t="s">
        <v>192</v>
      </c>
      <c r="C224" s="106">
        <v>58178</v>
      </c>
      <c r="D224" s="106">
        <v>256905382</v>
      </c>
      <c r="E224" s="106">
        <v>2559778</v>
      </c>
      <c r="F224" s="106">
        <v>99.730800000000002</v>
      </c>
      <c r="G224" s="106">
        <v>3.39E-2</v>
      </c>
    </row>
    <row r="225" spans="1:21" x14ac:dyDescent="0.25">
      <c r="A225" s="435" t="s">
        <v>192</v>
      </c>
      <c r="B225" s="435" t="s">
        <v>404</v>
      </c>
      <c r="C225" s="106">
        <v>3153</v>
      </c>
      <c r="D225" s="106">
        <v>8965814</v>
      </c>
      <c r="E225" s="106">
        <v>321823</v>
      </c>
      <c r="F225" s="106">
        <v>3.4805000000000001</v>
      </c>
      <c r="G225" s="106">
        <v>0.1201</v>
      </c>
    </row>
    <row r="226" spans="1:21" x14ac:dyDescent="0.25">
      <c r="A226" s="435"/>
      <c r="B226" s="435" t="s">
        <v>396</v>
      </c>
      <c r="C226" s="106">
        <v>54437</v>
      </c>
      <c r="D226" s="106">
        <v>246429354</v>
      </c>
      <c r="E226" s="106">
        <v>2481476</v>
      </c>
      <c r="F226" s="106">
        <v>95.664000000000001</v>
      </c>
      <c r="G226" s="106">
        <v>0.13519999999999999</v>
      </c>
    </row>
    <row r="227" spans="1:21" x14ac:dyDescent="0.25">
      <c r="A227" s="435"/>
      <c r="B227" s="435" t="s">
        <v>407</v>
      </c>
      <c r="C227" s="106">
        <v>807</v>
      </c>
      <c r="D227" s="106">
        <v>2203776</v>
      </c>
      <c r="E227" s="106">
        <v>128728</v>
      </c>
      <c r="F227" s="106">
        <v>0.85550000000000004</v>
      </c>
      <c r="G227" s="106">
        <v>5.0999999999999997E-2</v>
      </c>
    </row>
    <row r="228" spans="1:21" x14ac:dyDescent="0.25">
      <c r="A228" s="435"/>
      <c r="B228" s="435" t="s">
        <v>192</v>
      </c>
      <c r="C228" s="106">
        <v>58397</v>
      </c>
      <c r="D228" s="106">
        <v>257598944</v>
      </c>
      <c r="E228" s="106">
        <v>2541166</v>
      </c>
      <c r="F228" s="106">
        <v>100</v>
      </c>
      <c r="G228" s="106"/>
    </row>
    <row r="229" spans="1:21" x14ac:dyDescent="0.25">
      <c r="A229" s="122"/>
    </row>
    <row r="230" spans="1:21" x14ac:dyDescent="0.25">
      <c r="A230" s="605" t="s">
        <v>385</v>
      </c>
      <c r="B230" s="605"/>
      <c r="C230" s="605"/>
      <c r="D230" s="605"/>
      <c r="E230" s="605"/>
      <c r="F230" s="605"/>
      <c r="G230" s="605"/>
    </row>
    <row r="231" spans="1:21" x14ac:dyDescent="0.25">
      <c r="A231" s="605" t="s">
        <v>433</v>
      </c>
      <c r="B231" s="605"/>
      <c r="C231" s="605"/>
      <c r="D231" s="605"/>
      <c r="E231" s="605"/>
      <c r="F231" s="605"/>
      <c r="G231" s="605"/>
    </row>
    <row r="232" spans="1:21" x14ac:dyDescent="0.25">
      <c r="A232" s="605" t="s">
        <v>388</v>
      </c>
      <c r="B232" s="605" t="s">
        <v>389</v>
      </c>
      <c r="C232" s="605" t="s">
        <v>390</v>
      </c>
      <c r="D232" s="435" t="s">
        <v>391</v>
      </c>
      <c r="E232" s="435" t="s">
        <v>392</v>
      </c>
      <c r="F232" s="605" t="s">
        <v>393</v>
      </c>
      <c r="G232" s="435" t="s">
        <v>392</v>
      </c>
      <c r="J232" t="s">
        <v>394</v>
      </c>
    </row>
    <row r="233" spans="1:21" ht="30.75" thickBot="1" x14ac:dyDescent="0.3">
      <c r="A233" s="605"/>
      <c r="B233" s="605"/>
      <c r="C233" s="605"/>
      <c r="D233" s="435" t="s">
        <v>390</v>
      </c>
      <c r="E233" s="435" t="s">
        <v>395</v>
      </c>
      <c r="F233" s="605"/>
      <c r="G233" s="435" t="s">
        <v>393</v>
      </c>
      <c r="I233">
        <v>2012</v>
      </c>
      <c r="J233" t="s">
        <v>396</v>
      </c>
      <c r="K233" t="s">
        <v>397</v>
      </c>
      <c r="L233" t="s">
        <v>398</v>
      </c>
      <c r="P233" s="48" t="s">
        <v>399</v>
      </c>
      <c r="Q233" s="48" t="s">
        <v>400</v>
      </c>
      <c r="R233" s="48" t="s">
        <v>401</v>
      </c>
      <c r="S233" t="s">
        <v>402</v>
      </c>
      <c r="T233" s="48" t="s">
        <v>403</v>
      </c>
      <c r="U233" s="48" t="s">
        <v>396</v>
      </c>
    </row>
    <row r="234" spans="1:21" ht="30" x14ac:dyDescent="0.25">
      <c r="A234" s="435" t="s">
        <v>404</v>
      </c>
      <c r="B234" s="435" t="s">
        <v>404</v>
      </c>
      <c r="C234" s="106">
        <v>24</v>
      </c>
      <c r="D234" s="106">
        <v>64540</v>
      </c>
      <c r="E234" s="106">
        <v>20233</v>
      </c>
      <c r="F234" s="106">
        <v>2.4799999999999999E-2</v>
      </c>
      <c r="G234" s="106">
        <v>7.7000000000000002E-3</v>
      </c>
      <c r="H234" t="s">
        <v>405</v>
      </c>
      <c r="I234" t="s">
        <v>396</v>
      </c>
      <c r="J234" s="123">
        <f>D243</f>
        <v>247168338</v>
      </c>
      <c r="K234" s="124">
        <f>D242</f>
        <v>9898266</v>
      </c>
      <c r="L234" s="125">
        <f>D244</f>
        <v>2301337</v>
      </c>
      <c r="M234" s="105">
        <f>SUM(J234:L234)</f>
        <v>259367941</v>
      </c>
      <c r="N234" s="214" t="s">
        <v>406</v>
      </c>
      <c r="P234" s="110">
        <f>L234</f>
        <v>2301337</v>
      </c>
      <c r="Q234" s="111">
        <f>L235</f>
        <v>52733</v>
      </c>
      <c r="R234" s="112">
        <f>SUM(J236:L236)</f>
        <v>503336</v>
      </c>
      <c r="S234" s="113">
        <f>K234</f>
        <v>9898266</v>
      </c>
      <c r="T234" s="114">
        <f>SUM(J235:K235)</f>
        <v>133314</v>
      </c>
      <c r="U234" s="115">
        <f>J234</f>
        <v>247168338</v>
      </c>
    </row>
    <row r="235" spans="1:21" x14ac:dyDescent="0.25">
      <c r="A235" s="435"/>
      <c r="B235" s="435" t="s">
        <v>396</v>
      </c>
      <c r="C235" s="106">
        <v>21</v>
      </c>
      <c r="D235" s="106">
        <v>68774</v>
      </c>
      <c r="E235" s="106">
        <v>25627</v>
      </c>
      <c r="F235" s="106">
        <v>2.64E-2</v>
      </c>
      <c r="G235" s="106">
        <v>9.9000000000000008E-3</v>
      </c>
      <c r="I235" t="s">
        <v>397</v>
      </c>
      <c r="J235" s="126">
        <f>D235</f>
        <v>68774</v>
      </c>
      <c r="K235" s="127">
        <f>D234</f>
        <v>64540</v>
      </c>
      <c r="L235" s="128">
        <f>D236</f>
        <v>52733</v>
      </c>
      <c r="M235" s="105">
        <f t="shared" ref="M235:M236" si="25">SUM(J235:L235)</f>
        <v>186047</v>
      </c>
      <c r="N235">
        <f>K235/(K235+J235)</f>
        <v>0.48412019742862716</v>
      </c>
    </row>
    <row r="236" spans="1:21" ht="15.75" thickBot="1" x14ac:dyDescent="0.3">
      <c r="A236" s="435"/>
      <c r="B236" s="435" t="s">
        <v>407</v>
      </c>
      <c r="C236" s="106">
        <v>22</v>
      </c>
      <c r="D236" s="106">
        <v>52733</v>
      </c>
      <c r="E236" s="106">
        <v>12911</v>
      </c>
      <c r="F236" s="106">
        <v>2.0299999999999999E-2</v>
      </c>
      <c r="G236" s="106">
        <v>5.0000000000000001E-3</v>
      </c>
      <c r="I236" t="s">
        <v>408</v>
      </c>
      <c r="J236" s="129">
        <f>D239</f>
        <v>112724</v>
      </c>
      <c r="K236" s="130">
        <f>D238</f>
        <v>101083</v>
      </c>
      <c r="L236" s="131">
        <f>D240</f>
        <v>289529</v>
      </c>
      <c r="M236" s="105">
        <f t="shared" si="25"/>
        <v>503336</v>
      </c>
    </row>
    <row r="237" spans="1:21" x14ac:dyDescent="0.25">
      <c r="A237" s="435"/>
      <c r="B237" s="435" t="s">
        <v>192</v>
      </c>
      <c r="C237" s="106">
        <v>67</v>
      </c>
      <c r="D237" s="106">
        <v>186047</v>
      </c>
      <c r="E237" s="106">
        <v>40187</v>
      </c>
      <c r="F237" s="106">
        <v>7.1499999999999994E-2</v>
      </c>
      <c r="G237" s="106">
        <v>1.54E-2</v>
      </c>
      <c r="J237" s="85">
        <f>SUM(J234:J236)</f>
        <v>247349836</v>
      </c>
      <c r="K237" s="85">
        <f>SUM(K234:K236)</f>
        <v>10063889</v>
      </c>
      <c r="L237" s="85">
        <f>SUM(L234:L236)</f>
        <v>2643599</v>
      </c>
    </row>
    <row r="238" spans="1:21" x14ac:dyDescent="0.25">
      <c r="A238" s="435" t="s">
        <v>401</v>
      </c>
      <c r="B238" s="435" t="s">
        <v>404</v>
      </c>
      <c r="C238" s="106">
        <v>30</v>
      </c>
      <c r="D238" s="106">
        <v>101083</v>
      </c>
      <c r="E238" s="106">
        <v>29756</v>
      </c>
      <c r="F238" s="106">
        <v>3.8899999999999997E-2</v>
      </c>
      <c r="G238" s="106">
        <v>1.15E-2</v>
      </c>
      <c r="J238">
        <f>J236/(J236+K236+L236)</f>
        <v>0.2239537803773225</v>
      </c>
      <c r="K238">
        <f>K236/(K236+J236+L236)</f>
        <v>0.20082608833860482</v>
      </c>
      <c r="L238">
        <f>L236/(K236+L236+J236)</f>
        <v>0.57522013128407268</v>
      </c>
    </row>
    <row r="239" spans="1:21" x14ac:dyDescent="0.25">
      <c r="A239" s="435"/>
      <c r="B239" s="435" t="s">
        <v>396</v>
      </c>
      <c r="C239" s="106">
        <v>38</v>
      </c>
      <c r="D239" s="106">
        <v>112724</v>
      </c>
      <c r="E239" s="106">
        <v>30413</v>
      </c>
      <c r="F239" s="106">
        <v>4.3299999999999998E-2</v>
      </c>
      <c r="G239" s="106">
        <v>1.17E-2</v>
      </c>
    </row>
    <row r="240" spans="1:21" x14ac:dyDescent="0.25">
      <c r="A240" s="435"/>
      <c r="B240" s="435" t="s">
        <v>407</v>
      </c>
      <c r="C240" s="106">
        <v>83</v>
      </c>
      <c r="D240" s="106">
        <v>289529</v>
      </c>
      <c r="E240" s="106">
        <v>50313</v>
      </c>
      <c r="F240" s="106">
        <v>0.1113</v>
      </c>
      <c r="G240" s="106">
        <v>1.9199999999999998E-2</v>
      </c>
      <c r="J240">
        <f>J235/(J235+K235)</f>
        <v>0.51587980257137289</v>
      </c>
      <c r="K240">
        <f>K235/(K235+J235)</f>
        <v>0.48412019742862716</v>
      </c>
    </row>
    <row r="241" spans="1:21" x14ac:dyDescent="0.25">
      <c r="A241" s="435"/>
      <c r="B241" s="435" t="s">
        <v>192</v>
      </c>
      <c r="C241" s="106">
        <v>151</v>
      </c>
      <c r="D241" s="106">
        <v>503336</v>
      </c>
      <c r="E241" s="106">
        <v>74873</v>
      </c>
      <c r="F241" s="106">
        <v>0.19350000000000001</v>
      </c>
      <c r="G241" s="106">
        <v>2.87E-2</v>
      </c>
    </row>
    <row r="242" spans="1:21" x14ac:dyDescent="0.25">
      <c r="A242" s="435" t="s">
        <v>396</v>
      </c>
      <c r="B242" s="435" t="s">
        <v>404</v>
      </c>
      <c r="C242" s="106">
        <v>2867</v>
      </c>
      <c r="D242" s="106">
        <v>9898266</v>
      </c>
      <c r="E242" s="106">
        <v>373128</v>
      </c>
      <c r="F242" s="106">
        <v>3.8062</v>
      </c>
      <c r="G242" s="106">
        <v>0.14680000000000001</v>
      </c>
    </row>
    <row r="243" spans="1:21" x14ac:dyDescent="0.25">
      <c r="A243" s="435"/>
      <c r="B243" s="435" t="s">
        <v>396</v>
      </c>
      <c r="C243" s="106">
        <v>51536</v>
      </c>
      <c r="D243" s="106">
        <v>247168338</v>
      </c>
      <c r="E243" s="106">
        <v>2500209</v>
      </c>
      <c r="F243" s="106">
        <v>95.043800000000005</v>
      </c>
      <c r="G243" s="106">
        <v>0.1678</v>
      </c>
    </row>
    <row r="244" spans="1:21" x14ac:dyDescent="0.25">
      <c r="A244" s="435"/>
      <c r="B244" s="435" t="s">
        <v>407</v>
      </c>
      <c r="C244" s="106">
        <v>647</v>
      </c>
      <c r="D244" s="106">
        <v>2301337</v>
      </c>
      <c r="E244" s="106">
        <v>193725</v>
      </c>
      <c r="F244" s="106">
        <v>0.88490000000000002</v>
      </c>
      <c r="G244" s="106">
        <v>7.3400000000000007E-2</v>
      </c>
    </row>
    <row r="245" spans="1:21" x14ac:dyDescent="0.25">
      <c r="A245" s="435"/>
      <c r="B245" s="435" t="s">
        <v>192</v>
      </c>
      <c r="C245" s="106">
        <v>55050</v>
      </c>
      <c r="D245" s="106">
        <v>259367942</v>
      </c>
      <c r="E245" s="106">
        <v>2514751</v>
      </c>
      <c r="F245" s="106">
        <v>99.734899999999996</v>
      </c>
      <c r="G245" s="106">
        <v>3.4200000000000001E-2</v>
      </c>
    </row>
    <row r="246" spans="1:21" x14ac:dyDescent="0.25">
      <c r="A246" s="435" t="s">
        <v>192</v>
      </c>
      <c r="B246" s="435" t="s">
        <v>404</v>
      </c>
      <c r="C246" s="106">
        <v>2921</v>
      </c>
      <c r="D246" s="106">
        <v>10063889</v>
      </c>
      <c r="E246" s="106">
        <v>384511</v>
      </c>
      <c r="F246" s="106">
        <v>3.8698999999999999</v>
      </c>
      <c r="G246" s="106">
        <v>0.15060000000000001</v>
      </c>
    </row>
    <row r="247" spans="1:21" x14ac:dyDescent="0.25">
      <c r="A247" s="435"/>
      <c r="B247" s="435" t="s">
        <v>396</v>
      </c>
      <c r="C247" s="106">
        <v>51595</v>
      </c>
      <c r="D247" s="106">
        <v>247349836</v>
      </c>
      <c r="E247" s="106">
        <v>2498543</v>
      </c>
      <c r="F247" s="106">
        <v>95.113600000000005</v>
      </c>
      <c r="G247" s="106">
        <v>0.1661</v>
      </c>
    </row>
    <row r="248" spans="1:21" x14ac:dyDescent="0.25">
      <c r="A248" s="435"/>
      <c r="B248" s="435" t="s">
        <v>407</v>
      </c>
      <c r="C248" s="106">
        <v>752</v>
      </c>
      <c r="D248" s="106">
        <v>2643600</v>
      </c>
      <c r="E248" s="106">
        <v>198092</v>
      </c>
      <c r="F248" s="106">
        <v>1.0165</v>
      </c>
      <c r="G248" s="106">
        <v>7.4700000000000003E-2</v>
      </c>
    </row>
    <row r="249" spans="1:21" x14ac:dyDescent="0.25">
      <c r="A249" s="435"/>
      <c r="B249" s="435" t="s">
        <v>192</v>
      </c>
      <c r="C249" s="106">
        <v>55268</v>
      </c>
      <c r="D249" s="106">
        <v>260057325</v>
      </c>
      <c r="E249" s="106">
        <v>2523736</v>
      </c>
      <c r="F249" s="106">
        <v>100</v>
      </c>
      <c r="G249" s="106"/>
    </row>
    <row r="250" spans="1:21" x14ac:dyDescent="0.25">
      <c r="A250" s="122"/>
    </row>
    <row r="251" spans="1:21" x14ac:dyDescent="0.25">
      <c r="A251" s="605" t="s">
        <v>385</v>
      </c>
      <c r="B251" s="605"/>
      <c r="C251" s="605"/>
      <c r="D251" s="605"/>
      <c r="E251" s="605"/>
      <c r="F251" s="605"/>
      <c r="G251" s="605"/>
    </row>
    <row r="252" spans="1:21" x14ac:dyDescent="0.25">
      <c r="A252" s="605" t="s">
        <v>434</v>
      </c>
      <c r="B252" s="605"/>
      <c r="C252" s="605"/>
      <c r="D252" s="605"/>
      <c r="E252" s="605"/>
      <c r="F252" s="605"/>
      <c r="G252" s="605"/>
    </row>
    <row r="253" spans="1:21" x14ac:dyDescent="0.25">
      <c r="A253" s="605" t="s">
        <v>388</v>
      </c>
      <c r="B253" s="605" t="s">
        <v>389</v>
      </c>
      <c r="C253" s="605" t="s">
        <v>390</v>
      </c>
      <c r="D253" s="435" t="s">
        <v>391</v>
      </c>
      <c r="E253" s="435" t="s">
        <v>392</v>
      </c>
      <c r="F253" s="605" t="s">
        <v>393</v>
      </c>
      <c r="G253" s="435" t="s">
        <v>392</v>
      </c>
      <c r="J253" t="s">
        <v>394</v>
      </c>
    </row>
    <row r="254" spans="1:21" ht="30.75" thickBot="1" x14ac:dyDescent="0.3">
      <c r="A254" s="605"/>
      <c r="B254" s="605"/>
      <c r="C254" s="605"/>
      <c r="D254" s="435" t="s">
        <v>390</v>
      </c>
      <c r="E254" s="435" t="s">
        <v>395</v>
      </c>
      <c r="F254" s="605"/>
      <c r="G254" s="435" t="s">
        <v>393</v>
      </c>
      <c r="I254">
        <v>2013</v>
      </c>
      <c r="J254" t="s">
        <v>396</v>
      </c>
      <c r="K254" t="s">
        <v>397</v>
      </c>
      <c r="L254" t="s">
        <v>398</v>
      </c>
      <c r="P254" s="48" t="s">
        <v>399</v>
      </c>
      <c r="Q254" s="48" t="s">
        <v>400</v>
      </c>
      <c r="R254" s="48" t="s">
        <v>401</v>
      </c>
      <c r="S254" t="s">
        <v>402</v>
      </c>
      <c r="T254" s="48" t="s">
        <v>403</v>
      </c>
      <c r="U254" s="48" t="s">
        <v>396</v>
      </c>
    </row>
    <row r="255" spans="1:21" ht="30" x14ac:dyDescent="0.25">
      <c r="A255" s="435" t="s">
        <v>404</v>
      </c>
      <c r="B255" s="435" t="s">
        <v>404</v>
      </c>
      <c r="C255" s="106">
        <v>33</v>
      </c>
      <c r="D255" s="106">
        <v>111182</v>
      </c>
      <c r="E255" s="106">
        <v>33209</v>
      </c>
      <c r="F255" s="106">
        <v>4.24E-2</v>
      </c>
      <c r="G255" s="106">
        <v>1.26E-2</v>
      </c>
      <c r="H255" t="s">
        <v>405</v>
      </c>
      <c r="I255" t="s">
        <v>396</v>
      </c>
      <c r="J255" s="123">
        <f>D264</f>
        <v>251167266</v>
      </c>
      <c r="K255" s="124">
        <f>D263</f>
        <v>8543367</v>
      </c>
      <c r="L255" s="125">
        <f>D265</f>
        <v>1935811</v>
      </c>
      <c r="M255" s="105">
        <f>SUM(J255:L255)</f>
        <v>261646444</v>
      </c>
      <c r="N255" s="214" t="s">
        <v>406</v>
      </c>
      <c r="P255" s="110">
        <f>L255</f>
        <v>1935811</v>
      </c>
      <c r="Q255" s="111">
        <f>L256</f>
        <v>50314</v>
      </c>
      <c r="R255" s="112">
        <f>SUM(J257:L257)</f>
        <v>535880</v>
      </c>
      <c r="S255" s="113">
        <f>K255</f>
        <v>8543367</v>
      </c>
      <c r="T255" s="114">
        <f>SUM(J256:K256)</f>
        <v>158816</v>
      </c>
      <c r="U255" s="115">
        <f>J255</f>
        <v>251167266</v>
      </c>
    </row>
    <row r="256" spans="1:21" x14ac:dyDescent="0.25">
      <c r="A256" s="435"/>
      <c r="B256" s="435" t="s">
        <v>396</v>
      </c>
      <c r="C256" s="106">
        <v>26</v>
      </c>
      <c r="D256" s="106">
        <v>47634</v>
      </c>
      <c r="E256" s="106">
        <v>12397</v>
      </c>
      <c r="F256" s="106">
        <v>1.8200000000000001E-2</v>
      </c>
      <c r="G256" s="106">
        <v>4.7000000000000002E-3</v>
      </c>
      <c r="I256" t="s">
        <v>397</v>
      </c>
      <c r="J256" s="126">
        <f>D256</f>
        <v>47634</v>
      </c>
      <c r="K256" s="127">
        <f>D255</f>
        <v>111182</v>
      </c>
      <c r="L256" s="128">
        <f>D257</f>
        <v>50314</v>
      </c>
      <c r="M256" s="105">
        <f t="shared" ref="M256:M257" si="26">SUM(J256:L256)</f>
        <v>209130</v>
      </c>
      <c r="N256">
        <f>K256/(K256+J256)</f>
        <v>0.70006800322385654</v>
      </c>
    </row>
    <row r="257" spans="1:13" ht="15.75" thickBot="1" x14ac:dyDescent="0.3">
      <c r="A257" s="435"/>
      <c r="B257" s="435" t="s">
        <v>407</v>
      </c>
      <c r="C257" s="106">
        <v>19</v>
      </c>
      <c r="D257" s="106">
        <v>50314</v>
      </c>
      <c r="E257" s="106">
        <v>17294</v>
      </c>
      <c r="F257" s="106">
        <v>1.9199999999999998E-2</v>
      </c>
      <c r="G257" s="106">
        <v>6.6E-3</v>
      </c>
      <c r="I257" t="s">
        <v>408</v>
      </c>
      <c r="J257" s="129">
        <f>D260</f>
        <v>110335</v>
      </c>
      <c r="K257" s="130">
        <f>D259</f>
        <v>115839</v>
      </c>
      <c r="L257" s="131">
        <f>D261</f>
        <v>309706</v>
      </c>
      <c r="M257" s="105">
        <f t="shared" si="26"/>
        <v>535880</v>
      </c>
    </row>
    <row r="258" spans="1:13" x14ac:dyDescent="0.25">
      <c r="A258" s="435"/>
      <c r="B258" s="435" t="s">
        <v>192</v>
      </c>
      <c r="C258" s="106">
        <v>78</v>
      </c>
      <c r="D258" s="106">
        <v>209131</v>
      </c>
      <c r="E258" s="106">
        <v>34555</v>
      </c>
      <c r="F258" s="106">
        <v>7.9699999999999993E-2</v>
      </c>
      <c r="G258" s="106">
        <v>1.3100000000000001E-2</v>
      </c>
      <c r="J258" s="85">
        <f>SUM(J255:J257)</f>
        <v>251325235</v>
      </c>
      <c r="K258" s="85">
        <f>SUM(K255:K257)</f>
        <v>8770388</v>
      </c>
      <c r="L258" s="85">
        <f>SUM(L255:L257)</f>
        <v>2295831</v>
      </c>
    </row>
    <row r="259" spans="1:13" x14ac:dyDescent="0.25">
      <c r="A259" s="435" t="s">
        <v>401</v>
      </c>
      <c r="B259" s="435" t="s">
        <v>404</v>
      </c>
      <c r="C259" s="106">
        <v>40</v>
      </c>
      <c r="D259" s="106">
        <v>115839</v>
      </c>
      <c r="E259" s="106">
        <v>31050</v>
      </c>
      <c r="F259" s="106">
        <v>4.41E-2</v>
      </c>
      <c r="G259" s="106">
        <v>1.18E-2</v>
      </c>
      <c r="J259">
        <f>J257/(J257+K257+L257)</f>
        <v>0.20589497648727326</v>
      </c>
      <c r="K259">
        <f>K257/(K257+J257+L257)</f>
        <v>0.21616593267149362</v>
      </c>
      <c r="L259">
        <f>L257/(K257+L257+J257)</f>
        <v>0.57793909084123307</v>
      </c>
    </row>
    <row r="260" spans="1:13" x14ac:dyDescent="0.25">
      <c r="A260" s="435"/>
      <c r="B260" s="435" t="s">
        <v>396</v>
      </c>
      <c r="C260" s="106">
        <v>45</v>
      </c>
      <c r="D260" s="106">
        <v>110335</v>
      </c>
      <c r="E260" s="106">
        <v>28142</v>
      </c>
      <c r="F260" s="106">
        <v>4.2000000000000003E-2</v>
      </c>
      <c r="G260" s="106">
        <v>1.0699999999999999E-2</v>
      </c>
    </row>
    <row r="261" spans="1:13" x14ac:dyDescent="0.25">
      <c r="A261" s="435"/>
      <c r="B261" s="435" t="s">
        <v>407</v>
      </c>
      <c r="C261" s="106">
        <v>82</v>
      </c>
      <c r="D261" s="106">
        <v>309706</v>
      </c>
      <c r="E261" s="106">
        <v>51409</v>
      </c>
      <c r="F261" s="106">
        <v>0.11799999999999999</v>
      </c>
      <c r="G261" s="106">
        <v>1.9699999999999999E-2</v>
      </c>
      <c r="J261">
        <f>J256/(J256+K256)</f>
        <v>0.29993199677614346</v>
      </c>
      <c r="K261">
        <f>K256/(K256+J256)</f>
        <v>0.70006800322385654</v>
      </c>
    </row>
    <row r="262" spans="1:13" x14ac:dyDescent="0.25">
      <c r="A262" s="435"/>
      <c r="B262" s="435" t="s">
        <v>192</v>
      </c>
      <c r="C262" s="106">
        <v>167</v>
      </c>
      <c r="D262" s="106">
        <v>535880</v>
      </c>
      <c r="E262" s="106">
        <v>69992</v>
      </c>
      <c r="F262" s="106">
        <v>0.20419999999999999</v>
      </c>
      <c r="G262" s="106">
        <v>2.6700000000000002E-2</v>
      </c>
    </row>
    <row r="263" spans="1:13" x14ac:dyDescent="0.25">
      <c r="A263" s="435" t="s">
        <v>396</v>
      </c>
      <c r="B263" s="435" t="s">
        <v>404</v>
      </c>
      <c r="C263" s="106">
        <v>2444</v>
      </c>
      <c r="D263" s="106">
        <v>8543367</v>
      </c>
      <c r="E263" s="106">
        <v>303293</v>
      </c>
      <c r="F263" s="106">
        <v>3.2559999999999998</v>
      </c>
      <c r="G263" s="106">
        <v>0.11559999999999999</v>
      </c>
    </row>
    <row r="264" spans="1:13" x14ac:dyDescent="0.25">
      <c r="A264" s="435"/>
      <c r="B264" s="435" t="s">
        <v>396</v>
      </c>
      <c r="C264" s="106">
        <v>51915</v>
      </c>
      <c r="D264" s="106">
        <v>251167266</v>
      </c>
      <c r="E264" s="106">
        <v>2616524</v>
      </c>
      <c r="F264" s="106">
        <v>95.722300000000004</v>
      </c>
      <c r="G264" s="106">
        <v>0.13500000000000001</v>
      </c>
    </row>
    <row r="265" spans="1:13" x14ac:dyDescent="0.25">
      <c r="A265" s="435"/>
      <c r="B265" s="435" t="s">
        <v>407</v>
      </c>
      <c r="C265" s="106">
        <v>556</v>
      </c>
      <c r="D265" s="106">
        <v>1935811</v>
      </c>
      <c r="E265" s="106">
        <v>163006</v>
      </c>
      <c r="F265" s="106">
        <v>0.73780000000000001</v>
      </c>
      <c r="G265" s="106">
        <v>6.4100000000000004E-2</v>
      </c>
    </row>
    <row r="266" spans="1:13" x14ac:dyDescent="0.25">
      <c r="A266" s="435"/>
      <c r="B266" s="435" t="s">
        <v>192</v>
      </c>
      <c r="C266" s="106">
        <v>54915</v>
      </c>
      <c r="D266" s="106">
        <v>261646444</v>
      </c>
      <c r="E266" s="106">
        <v>2602824</v>
      </c>
      <c r="F266" s="106">
        <v>99.716099999999997</v>
      </c>
      <c r="G266" s="106">
        <v>2.9700000000000001E-2</v>
      </c>
    </row>
    <row r="267" spans="1:13" x14ac:dyDescent="0.25">
      <c r="A267" s="435" t="s">
        <v>192</v>
      </c>
      <c r="B267" s="435" t="s">
        <v>404</v>
      </c>
      <c r="C267" s="106">
        <v>2517</v>
      </c>
      <c r="D267" s="106">
        <v>8770388</v>
      </c>
      <c r="E267" s="106">
        <v>309679</v>
      </c>
      <c r="F267" s="106">
        <v>3.3424999999999998</v>
      </c>
      <c r="G267" s="106">
        <v>0.1173</v>
      </c>
    </row>
    <row r="268" spans="1:13" x14ac:dyDescent="0.25">
      <c r="A268" s="435"/>
      <c r="B268" s="435" t="s">
        <v>396</v>
      </c>
      <c r="C268" s="106">
        <v>51986</v>
      </c>
      <c r="D268" s="106">
        <v>251325235</v>
      </c>
      <c r="E268" s="106">
        <v>2620286</v>
      </c>
      <c r="F268" s="106">
        <v>95.782600000000002</v>
      </c>
      <c r="G268" s="106">
        <v>0.13300000000000001</v>
      </c>
    </row>
    <row r="269" spans="1:13" x14ac:dyDescent="0.25">
      <c r="A269" s="435"/>
      <c r="B269" s="435" t="s">
        <v>407</v>
      </c>
      <c r="C269" s="106">
        <v>657</v>
      </c>
      <c r="D269" s="106">
        <v>2295831</v>
      </c>
      <c r="E269" s="106">
        <v>184591</v>
      </c>
      <c r="F269" s="106">
        <v>0.875</v>
      </c>
      <c r="G269" s="106">
        <v>7.2800000000000004E-2</v>
      </c>
    </row>
    <row r="270" spans="1:13" x14ac:dyDescent="0.25">
      <c r="A270" s="435"/>
      <c r="B270" s="435" t="s">
        <v>192</v>
      </c>
      <c r="C270" s="106">
        <v>55160</v>
      </c>
      <c r="D270" s="106">
        <v>262391455</v>
      </c>
      <c r="E270" s="106">
        <v>2608186</v>
      </c>
      <c r="F270" s="106">
        <v>100</v>
      </c>
      <c r="G270" s="106"/>
    </row>
    <row r="271" spans="1:13" x14ac:dyDescent="0.25">
      <c r="A271" s="122"/>
    </row>
    <row r="272" spans="1:13" x14ac:dyDescent="0.25">
      <c r="A272" s="605" t="s">
        <v>385</v>
      </c>
      <c r="B272" s="605"/>
      <c r="C272" s="605"/>
      <c r="D272" s="605"/>
      <c r="E272" s="605"/>
      <c r="F272" s="605"/>
      <c r="G272" s="605"/>
    </row>
    <row r="273" spans="1:21" x14ac:dyDescent="0.25">
      <c r="A273" s="605" t="s">
        <v>435</v>
      </c>
      <c r="B273" s="605"/>
      <c r="C273" s="605"/>
      <c r="D273" s="605"/>
      <c r="E273" s="605"/>
      <c r="F273" s="605"/>
      <c r="G273" s="605"/>
    </row>
    <row r="274" spans="1:21" x14ac:dyDescent="0.25">
      <c r="A274" s="605" t="s">
        <v>388</v>
      </c>
      <c r="B274" s="605" t="s">
        <v>389</v>
      </c>
      <c r="C274" s="605" t="s">
        <v>390</v>
      </c>
      <c r="D274" s="435" t="s">
        <v>391</v>
      </c>
      <c r="E274" s="435" t="s">
        <v>392</v>
      </c>
      <c r="F274" s="605" t="s">
        <v>393</v>
      </c>
      <c r="G274" s="435" t="s">
        <v>392</v>
      </c>
      <c r="J274" t="s">
        <v>394</v>
      </c>
    </row>
    <row r="275" spans="1:21" ht="30.75" thickBot="1" x14ac:dyDescent="0.3">
      <c r="A275" s="605"/>
      <c r="B275" s="605"/>
      <c r="C275" s="605"/>
      <c r="D275" s="435" t="s">
        <v>390</v>
      </c>
      <c r="E275" s="435" t="s">
        <v>395</v>
      </c>
      <c r="F275" s="605"/>
      <c r="G275" s="435" t="s">
        <v>393</v>
      </c>
      <c r="I275">
        <v>2014</v>
      </c>
      <c r="J275" t="s">
        <v>396</v>
      </c>
      <c r="K275" t="s">
        <v>397</v>
      </c>
      <c r="L275" t="s">
        <v>398</v>
      </c>
      <c r="P275" s="48" t="s">
        <v>399</v>
      </c>
      <c r="Q275" s="48" t="s">
        <v>400</v>
      </c>
      <c r="R275" s="48" t="s">
        <v>401</v>
      </c>
      <c r="S275" t="s">
        <v>402</v>
      </c>
      <c r="T275" s="48" t="s">
        <v>403</v>
      </c>
      <c r="U275" s="48" t="s">
        <v>396</v>
      </c>
    </row>
    <row r="276" spans="1:21" ht="30" x14ac:dyDescent="0.25">
      <c r="A276" s="435" t="s">
        <v>404</v>
      </c>
      <c r="B276" s="435" t="s">
        <v>404</v>
      </c>
      <c r="C276" s="106">
        <v>31</v>
      </c>
      <c r="D276" s="106">
        <v>127596</v>
      </c>
      <c r="E276" s="106">
        <v>31083</v>
      </c>
      <c r="F276" s="106">
        <v>4.8099999999999997E-2</v>
      </c>
      <c r="G276" s="106">
        <v>1.18E-2</v>
      </c>
      <c r="H276" t="s">
        <v>405</v>
      </c>
      <c r="I276" t="s">
        <v>396</v>
      </c>
      <c r="J276" s="123">
        <f>D285</f>
        <v>254439952</v>
      </c>
      <c r="K276" s="124">
        <f>D284</f>
        <v>7654608</v>
      </c>
      <c r="L276" s="125">
        <f>D286</f>
        <v>2015605</v>
      </c>
      <c r="M276" s="105">
        <f>SUM(J276:L276)</f>
        <v>264110165</v>
      </c>
      <c r="N276" s="214" t="s">
        <v>406</v>
      </c>
      <c r="P276" s="110">
        <f>L276</f>
        <v>2015605</v>
      </c>
      <c r="Q276" s="111">
        <f>L277</f>
        <v>109871</v>
      </c>
      <c r="R276" s="112">
        <f>SUM(J278:L278)</f>
        <v>622431</v>
      </c>
      <c r="S276" s="113">
        <f>K276</f>
        <v>7654608</v>
      </c>
      <c r="T276" s="114">
        <f>SUM(J277:K277)</f>
        <v>280398</v>
      </c>
      <c r="U276" s="115">
        <f>J276</f>
        <v>254439952</v>
      </c>
    </row>
    <row r="277" spans="1:21" x14ac:dyDescent="0.25">
      <c r="A277" s="435"/>
      <c r="B277" s="435" t="s">
        <v>396</v>
      </c>
      <c r="C277" s="106">
        <v>34</v>
      </c>
      <c r="D277" s="106">
        <v>152802</v>
      </c>
      <c r="E277" s="106">
        <v>41592</v>
      </c>
      <c r="F277" s="106">
        <v>5.7599999999999998E-2</v>
      </c>
      <c r="G277" s="106">
        <v>1.5800000000000002E-2</v>
      </c>
      <c r="I277" t="s">
        <v>397</v>
      </c>
      <c r="J277" s="126">
        <f>D277</f>
        <v>152802</v>
      </c>
      <c r="K277" s="127">
        <f>D276</f>
        <v>127596</v>
      </c>
      <c r="L277" s="128">
        <f>D278</f>
        <v>109871</v>
      </c>
      <c r="M277" s="105">
        <f t="shared" ref="M277:M278" si="27">SUM(J277:L277)</f>
        <v>390269</v>
      </c>
      <c r="N277">
        <f>K277/(K277+J277)</f>
        <v>0.45505317441636534</v>
      </c>
    </row>
    <row r="278" spans="1:21" ht="15.75" thickBot="1" x14ac:dyDescent="0.3">
      <c r="A278" s="435"/>
      <c r="B278" s="435" t="s">
        <v>407</v>
      </c>
      <c r="C278" s="106">
        <v>28</v>
      </c>
      <c r="D278" s="106">
        <v>109871</v>
      </c>
      <c r="E278" s="106">
        <v>28609</v>
      </c>
      <c r="F278" s="106">
        <v>4.1399999999999999E-2</v>
      </c>
      <c r="G278" s="106">
        <v>1.0800000000000001E-2</v>
      </c>
      <c r="I278" t="s">
        <v>408</v>
      </c>
      <c r="J278" s="129">
        <f>D281</f>
        <v>209402</v>
      </c>
      <c r="K278" s="130">
        <f>D280</f>
        <v>194398</v>
      </c>
      <c r="L278" s="131">
        <f>D282</f>
        <v>218631</v>
      </c>
      <c r="M278" s="105">
        <f t="shared" si="27"/>
        <v>622431</v>
      </c>
    </row>
    <row r="279" spans="1:21" x14ac:dyDescent="0.25">
      <c r="A279" s="435"/>
      <c r="B279" s="435" t="s">
        <v>192</v>
      </c>
      <c r="C279" s="106">
        <v>93</v>
      </c>
      <c r="D279" s="106">
        <v>390270</v>
      </c>
      <c r="E279" s="106">
        <v>56448</v>
      </c>
      <c r="F279" s="106">
        <v>0.1472</v>
      </c>
      <c r="G279" s="106">
        <v>2.1499999999999998E-2</v>
      </c>
      <c r="J279" s="85">
        <f>SUM(J276:J278)</f>
        <v>254802156</v>
      </c>
      <c r="K279" s="85">
        <f>SUM(K276:K278)</f>
        <v>7976602</v>
      </c>
      <c r="L279" s="85">
        <f>SUM(L276:L278)</f>
        <v>2344107</v>
      </c>
    </row>
    <row r="280" spans="1:21" x14ac:dyDescent="0.25">
      <c r="A280" s="435" t="s">
        <v>401</v>
      </c>
      <c r="B280" s="435" t="s">
        <v>404</v>
      </c>
      <c r="C280" s="106">
        <v>40</v>
      </c>
      <c r="D280" s="106">
        <v>194398</v>
      </c>
      <c r="E280" s="106">
        <v>36948</v>
      </c>
      <c r="F280" s="106">
        <v>7.3300000000000004E-2</v>
      </c>
      <c r="G280" s="106">
        <v>1.3899999999999999E-2</v>
      </c>
      <c r="J280">
        <f>J278/(J278+K278+L278)</f>
        <v>0.33642604561790784</v>
      </c>
      <c r="K280">
        <f>K278/(K278+J278+L278)</f>
        <v>0.31232056243985279</v>
      </c>
      <c r="L280">
        <f>L278/(K278+L278+J278)</f>
        <v>0.35125339194223937</v>
      </c>
    </row>
    <row r="281" spans="1:21" x14ac:dyDescent="0.25">
      <c r="A281" s="435"/>
      <c r="B281" s="435" t="s">
        <v>396</v>
      </c>
      <c r="C281" s="106">
        <v>55</v>
      </c>
      <c r="D281" s="106">
        <v>209402</v>
      </c>
      <c r="E281" s="106">
        <v>40206</v>
      </c>
      <c r="F281" s="106">
        <v>7.9000000000000001E-2</v>
      </c>
      <c r="G281" s="106">
        <v>1.4999999999999999E-2</v>
      </c>
    </row>
    <row r="282" spans="1:21" x14ac:dyDescent="0.25">
      <c r="A282" s="435"/>
      <c r="B282" s="435" t="s">
        <v>407</v>
      </c>
      <c r="C282" s="106">
        <v>61</v>
      </c>
      <c r="D282" s="106">
        <v>218631</v>
      </c>
      <c r="E282" s="106">
        <v>33333</v>
      </c>
      <c r="F282" s="106">
        <v>8.2500000000000004E-2</v>
      </c>
      <c r="G282" s="106">
        <v>1.26E-2</v>
      </c>
      <c r="J282">
        <f>J277/(J277+K277)</f>
        <v>0.54494682558363472</v>
      </c>
      <c r="K282">
        <f>K277/(K277+J277)</f>
        <v>0.45505317441636534</v>
      </c>
    </row>
    <row r="283" spans="1:21" x14ac:dyDescent="0.25">
      <c r="A283" s="435"/>
      <c r="B283" s="435" t="s">
        <v>192</v>
      </c>
      <c r="C283" s="106">
        <v>156</v>
      </c>
      <c r="D283" s="106">
        <v>622430</v>
      </c>
      <c r="E283" s="106">
        <v>69140</v>
      </c>
      <c r="F283" s="106">
        <v>0.23480000000000001</v>
      </c>
      <c r="G283" s="106">
        <v>2.58E-2</v>
      </c>
    </row>
    <row r="284" spans="1:21" x14ac:dyDescent="0.25">
      <c r="A284" s="435" t="s">
        <v>396</v>
      </c>
      <c r="B284" s="435" t="s">
        <v>404</v>
      </c>
      <c r="C284" s="106">
        <v>2054</v>
      </c>
      <c r="D284" s="106">
        <v>7654608</v>
      </c>
      <c r="E284" s="106">
        <v>236170</v>
      </c>
      <c r="F284" s="106">
        <v>2.8872</v>
      </c>
      <c r="G284" s="106">
        <v>9.0399999999999994E-2</v>
      </c>
    </row>
    <row r="285" spans="1:21" x14ac:dyDescent="0.25">
      <c r="A285" s="435"/>
      <c r="B285" s="435" t="s">
        <v>396</v>
      </c>
      <c r="C285" s="106">
        <v>52485</v>
      </c>
      <c r="D285" s="106">
        <v>254439952</v>
      </c>
      <c r="E285" s="106">
        <v>2062356</v>
      </c>
      <c r="F285" s="106">
        <v>95.970600000000005</v>
      </c>
      <c r="G285" s="106">
        <v>0.1028</v>
      </c>
    </row>
    <row r="286" spans="1:21" x14ac:dyDescent="0.25">
      <c r="A286" s="435"/>
      <c r="B286" s="435" t="s">
        <v>407</v>
      </c>
      <c r="C286" s="106">
        <v>483</v>
      </c>
      <c r="D286" s="106">
        <v>2015605</v>
      </c>
      <c r="E286" s="106">
        <v>128136</v>
      </c>
      <c r="F286" s="106">
        <v>0.76029999999999998</v>
      </c>
      <c r="G286" s="106">
        <v>4.8599999999999997E-2</v>
      </c>
    </row>
    <row r="287" spans="1:21" x14ac:dyDescent="0.25">
      <c r="A287" s="435"/>
      <c r="B287" s="435" t="s">
        <v>192</v>
      </c>
      <c r="C287" s="106">
        <v>55022</v>
      </c>
      <c r="D287" s="106">
        <v>264110165</v>
      </c>
      <c r="E287" s="106">
        <v>2065225</v>
      </c>
      <c r="F287" s="106">
        <v>99.617999999999995</v>
      </c>
      <c r="G287" s="106">
        <v>3.1E-2</v>
      </c>
    </row>
    <row r="288" spans="1:21" x14ac:dyDescent="0.25">
      <c r="A288" s="435" t="s">
        <v>192</v>
      </c>
      <c r="B288" s="435" t="s">
        <v>404</v>
      </c>
      <c r="C288" s="106">
        <v>2125</v>
      </c>
      <c r="D288" s="106">
        <v>7976602</v>
      </c>
      <c r="E288" s="106">
        <v>242719</v>
      </c>
      <c r="F288" s="106">
        <v>3.0085999999999999</v>
      </c>
      <c r="G288" s="106">
        <v>9.2999999999999999E-2</v>
      </c>
    </row>
    <row r="289" spans="1:21" x14ac:dyDescent="0.25">
      <c r="A289" s="435"/>
      <c r="B289" s="435" t="s">
        <v>396</v>
      </c>
      <c r="C289" s="106">
        <v>52574</v>
      </c>
      <c r="D289" s="106">
        <v>254802156</v>
      </c>
      <c r="E289" s="106">
        <v>2067325</v>
      </c>
      <c r="F289" s="106">
        <v>96.107200000000006</v>
      </c>
      <c r="G289" s="106">
        <v>0.1075</v>
      </c>
    </row>
    <row r="290" spans="1:21" x14ac:dyDescent="0.25">
      <c r="A290" s="435"/>
      <c r="B290" s="435" t="s">
        <v>407</v>
      </c>
      <c r="C290" s="106">
        <v>572</v>
      </c>
      <c r="D290" s="106">
        <v>2344106</v>
      </c>
      <c r="E290" s="106">
        <v>131470</v>
      </c>
      <c r="F290" s="106">
        <v>0.88419999999999999</v>
      </c>
      <c r="G290" s="106">
        <v>5.0099999999999999E-2</v>
      </c>
    </row>
    <row r="291" spans="1:21" x14ac:dyDescent="0.25">
      <c r="A291" s="435"/>
      <c r="B291" s="435" t="s">
        <v>192</v>
      </c>
      <c r="C291" s="106">
        <v>55271</v>
      </c>
      <c r="D291" s="106">
        <v>265122864</v>
      </c>
      <c r="E291" s="106">
        <v>2063976</v>
      </c>
      <c r="F291" s="106">
        <v>100</v>
      </c>
      <c r="G291" s="106"/>
    </row>
    <row r="292" spans="1:21" x14ac:dyDescent="0.25">
      <c r="A292" s="122"/>
    </row>
    <row r="293" spans="1:21" x14ac:dyDescent="0.25">
      <c r="A293" s="605" t="s">
        <v>385</v>
      </c>
      <c r="B293" s="605"/>
      <c r="C293" s="605"/>
      <c r="D293" s="605"/>
      <c r="E293" s="605"/>
      <c r="F293" s="605"/>
      <c r="G293" s="605"/>
    </row>
    <row r="294" spans="1:21" x14ac:dyDescent="0.25">
      <c r="A294" s="605" t="s">
        <v>436</v>
      </c>
      <c r="B294" s="605"/>
      <c r="C294" s="605"/>
      <c r="D294" s="605"/>
      <c r="E294" s="605"/>
      <c r="F294" s="605"/>
      <c r="G294" s="605"/>
    </row>
    <row r="295" spans="1:21" x14ac:dyDescent="0.25">
      <c r="A295" s="605" t="s">
        <v>388</v>
      </c>
      <c r="B295" s="605" t="s">
        <v>389</v>
      </c>
      <c r="C295" s="605" t="s">
        <v>390</v>
      </c>
      <c r="D295" s="435" t="s">
        <v>391</v>
      </c>
      <c r="E295" s="435" t="s">
        <v>392</v>
      </c>
      <c r="F295" s="605" t="s">
        <v>393</v>
      </c>
      <c r="G295" s="435" t="s">
        <v>392</v>
      </c>
      <c r="J295" t="s">
        <v>394</v>
      </c>
    </row>
    <row r="296" spans="1:21" ht="30.75" thickBot="1" x14ac:dyDescent="0.3">
      <c r="A296" s="605"/>
      <c r="B296" s="605"/>
      <c r="C296" s="605"/>
      <c r="D296" s="435" t="s">
        <v>390</v>
      </c>
      <c r="E296" s="435" t="s">
        <v>395</v>
      </c>
      <c r="F296" s="605"/>
      <c r="G296" s="435" t="s">
        <v>393</v>
      </c>
      <c r="I296">
        <v>2015</v>
      </c>
      <c r="J296" t="s">
        <v>396</v>
      </c>
      <c r="K296" t="s">
        <v>397</v>
      </c>
      <c r="L296" t="s">
        <v>398</v>
      </c>
      <c r="P296" s="48" t="s">
        <v>399</v>
      </c>
      <c r="Q296" s="48" t="s">
        <v>400</v>
      </c>
      <c r="R296" s="48" t="s">
        <v>401</v>
      </c>
      <c r="S296" t="s">
        <v>402</v>
      </c>
      <c r="T296" s="48" t="s">
        <v>403</v>
      </c>
      <c r="U296" s="48" t="s">
        <v>396</v>
      </c>
    </row>
    <row r="297" spans="1:21" ht="30" x14ac:dyDescent="0.25">
      <c r="A297" s="435" t="s">
        <v>404</v>
      </c>
      <c r="B297" s="435" t="s">
        <v>404</v>
      </c>
      <c r="C297" s="106">
        <v>30</v>
      </c>
      <c r="D297" s="106">
        <v>108426</v>
      </c>
      <c r="E297" s="106">
        <v>28070</v>
      </c>
      <c r="F297" s="106">
        <v>4.0500000000000001E-2</v>
      </c>
      <c r="G297" s="106">
        <v>1.0500000000000001E-2</v>
      </c>
      <c r="H297" t="s">
        <v>405</v>
      </c>
      <c r="I297" t="s">
        <v>396</v>
      </c>
      <c r="J297" s="123">
        <f>D306</f>
        <v>254994009</v>
      </c>
      <c r="K297" s="124">
        <f>D305</f>
        <v>9631764</v>
      </c>
      <c r="L297" s="125">
        <f>D307</f>
        <v>2181670</v>
      </c>
      <c r="M297" s="105">
        <f>SUM(J297:L297)</f>
        <v>266807443</v>
      </c>
      <c r="N297" s="214" t="s">
        <v>406</v>
      </c>
      <c r="P297" s="110">
        <f>L297</f>
        <v>2181670</v>
      </c>
      <c r="Q297" s="111">
        <f>L298</f>
        <v>85042</v>
      </c>
      <c r="R297" s="112">
        <f>SUM(J299:L299)</f>
        <v>618367</v>
      </c>
      <c r="S297" s="113">
        <f>K297</f>
        <v>9631764</v>
      </c>
      <c r="T297" s="114">
        <f>SUM(J298:K298)</f>
        <v>183638</v>
      </c>
      <c r="U297" s="115">
        <f>J297</f>
        <v>254994009</v>
      </c>
    </row>
    <row r="298" spans="1:21" x14ac:dyDescent="0.25">
      <c r="A298" s="435"/>
      <c r="B298" s="435" t="s">
        <v>396</v>
      </c>
      <c r="C298" s="106">
        <v>21</v>
      </c>
      <c r="D298" s="106">
        <v>75212</v>
      </c>
      <c r="E298" s="106">
        <v>24782</v>
      </c>
      <c r="F298" s="106">
        <v>2.81E-2</v>
      </c>
      <c r="G298" s="106">
        <v>9.2999999999999992E-3</v>
      </c>
      <c r="I298" t="s">
        <v>397</v>
      </c>
      <c r="J298" s="126">
        <f>D298</f>
        <v>75212</v>
      </c>
      <c r="K298" s="127">
        <f>D297</f>
        <v>108426</v>
      </c>
      <c r="L298" s="128">
        <f>D299</f>
        <v>85042</v>
      </c>
      <c r="M298" s="105">
        <f t="shared" ref="M298:M299" si="28">SUM(J298:L298)</f>
        <v>268680</v>
      </c>
      <c r="N298">
        <f>K298/(K298+J298)</f>
        <v>0.59043335257408602</v>
      </c>
    </row>
    <row r="299" spans="1:21" ht="15.75" thickBot="1" x14ac:dyDescent="0.3">
      <c r="A299" s="435"/>
      <c r="B299" s="435" t="s">
        <v>407</v>
      </c>
      <c r="C299" s="106">
        <v>19</v>
      </c>
      <c r="D299" s="106">
        <v>85042</v>
      </c>
      <c r="E299" s="106">
        <v>31969</v>
      </c>
      <c r="F299" s="106">
        <v>3.1800000000000002E-2</v>
      </c>
      <c r="G299" s="106">
        <v>1.1900000000000001E-2</v>
      </c>
      <c r="I299" t="s">
        <v>408</v>
      </c>
      <c r="J299" s="129">
        <f>D302</f>
        <v>165044</v>
      </c>
      <c r="K299" s="130">
        <f>D301</f>
        <v>199312</v>
      </c>
      <c r="L299" s="131">
        <f>D303</f>
        <v>254011</v>
      </c>
      <c r="M299" s="105">
        <f t="shared" si="28"/>
        <v>618367</v>
      </c>
    </row>
    <row r="300" spans="1:21" x14ac:dyDescent="0.25">
      <c r="A300" s="435"/>
      <c r="B300" s="435" t="s">
        <v>192</v>
      </c>
      <c r="C300" s="106">
        <v>70</v>
      </c>
      <c r="D300" s="106">
        <v>268680</v>
      </c>
      <c r="E300" s="106">
        <v>51453</v>
      </c>
      <c r="F300" s="106">
        <v>0.1004</v>
      </c>
      <c r="G300" s="106">
        <v>1.9099999999999999E-2</v>
      </c>
      <c r="J300" s="85">
        <f>SUM(J297:J299)</f>
        <v>255234265</v>
      </c>
      <c r="K300" s="85">
        <f>SUM(K297:K299)</f>
        <v>9939502</v>
      </c>
      <c r="L300" s="85">
        <f>SUM(L297:L299)</f>
        <v>2520723</v>
      </c>
    </row>
    <row r="301" spans="1:21" x14ac:dyDescent="0.25">
      <c r="A301" s="435" t="s">
        <v>401</v>
      </c>
      <c r="B301" s="435" t="s">
        <v>404</v>
      </c>
      <c r="C301" s="106">
        <v>57</v>
      </c>
      <c r="D301" s="106">
        <v>199312</v>
      </c>
      <c r="E301" s="106">
        <v>36345</v>
      </c>
      <c r="F301" s="106">
        <v>7.4499999999999997E-2</v>
      </c>
      <c r="G301" s="106">
        <v>1.3599999999999999E-2</v>
      </c>
      <c r="J301">
        <f>J299/(J299+K299+L299)</f>
        <v>0.26690298803137941</v>
      </c>
      <c r="K301">
        <f>K299/(K299+J299+L299)</f>
        <v>0.32231991681315464</v>
      </c>
      <c r="L301">
        <f>L299/(K299+L299+J299)</f>
        <v>0.41077709515546595</v>
      </c>
    </row>
    <row r="302" spans="1:21" x14ac:dyDescent="0.25">
      <c r="A302" s="435"/>
      <c r="B302" s="435" t="s">
        <v>396</v>
      </c>
      <c r="C302" s="106">
        <v>36</v>
      </c>
      <c r="D302" s="106">
        <v>165044</v>
      </c>
      <c r="E302" s="106">
        <v>38528</v>
      </c>
      <c r="F302" s="106">
        <v>6.1699999999999998E-2</v>
      </c>
      <c r="G302" s="106">
        <v>1.43E-2</v>
      </c>
    </row>
    <row r="303" spans="1:21" x14ac:dyDescent="0.25">
      <c r="A303" s="435"/>
      <c r="B303" s="435" t="s">
        <v>407</v>
      </c>
      <c r="C303" s="106">
        <v>70</v>
      </c>
      <c r="D303" s="106">
        <v>254011</v>
      </c>
      <c r="E303" s="106">
        <v>39496</v>
      </c>
      <c r="F303" s="106">
        <v>9.4899999999999998E-2</v>
      </c>
      <c r="G303" s="106">
        <v>1.47E-2</v>
      </c>
      <c r="J303">
        <f>J298/(J298+K298)</f>
        <v>0.40956664742591403</v>
      </c>
      <c r="K303">
        <f>K298/(K298+J298)</f>
        <v>0.59043335257408602</v>
      </c>
    </row>
    <row r="304" spans="1:21" x14ac:dyDescent="0.25">
      <c r="A304" s="435"/>
      <c r="B304" s="435" t="s">
        <v>192</v>
      </c>
      <c r="C304" s="106">
        <v>163</v>
      </c>
      <c r="D304" s="106">
        <v>618367</v>
      </c>
      <c r="E304" s="106">
        <v>67108</v>
      </c>
      <c r="F304" s="106">
        <v>0.23100000000000001</v>
      </c>
      <c r="G304" s="106">
        <v>2.4799999999999999E-2</v>
      </c>
    </row>
    <row r="305" spans="1:21" x14ac:dyDescent="0.25">
      <c r="A305" s="435" t="s">
        <v>396</v>
      </c>
      <c r="B305" s="435" t="s">
        <v>404</v>
      </c>
      <c r="C305" s="106">
        <v>2478</v>
      </c>
      <c r="D305" s="106">
        <v>9631764</v>
      </c>
      <c r="E305" s="106">
        <v>278646</v>
      </c>
      <c r="F305" s="106">
        <v>3.5979999999999999</v>
      </c>
      <c r="G305" s="106">
        <v>0.10920000000000001</v>
      </c>
    </row>
    <row r="306" spans="1:21" x14ac:dyDescent="0.25">
      <c r="A306" s="435"/>
      <c r="B306" s="435" t="s">
        <v>396</v>
      </c>
      <c r="C306" s="106">
        <v>53877</v>
      </c>
      <c r="D306" s="106">
        <v>254994009</v>
      </c>
      <c r="E306" s="106">
        <v>2449090</v>
      </c>
      <c r="F306" s="106">
        <v>95.255600000000001</v>
      </c>
      <c r="G306" s="106">
        <v>0.1263</v>
      </c>
    </row>
    <row r="307" spans="1:21" x14ac:dyDescent="0.25">
      <c r="A307" s="435"/>
      <c r="B307" s="435" t="s">
        <v>407</v>
      </c>
      <c r="C307" s="106">
        <v>558</v>
      </c>
      <c r="D307" s="106">
        <v>2181670</v>
      </c>
      <c r="E307" s="106">
        <v>149461</v>
      </c>
      <c r="F307" s="106">
        <v>0.81499999999999995</v>
      </c>
      <c r="G307" s="106">
        <v>5.5399999999999998E-2</v>
      </c>
    </row>
    <row r="308" spans="1:21" x14ac:dyDescent="0.25">
      <c r="A308" s="435"/>
      <c r="B308" s="435" t="s">
        <v>192</v>
      </c>
      <c r="C308" s="106">
        <v>56913</v>
      </c>
      <c r="D308" s="106">
        <v>266807442</v>
      </c>
      <c r="E308" s="106">
        <v>2446564</v>
      </c>
      <c r="F308" s="106">
        <v>99.668599999999998</v>
      </c>
      <c r="G308" s="106">
        <v>3.2300000000000002E-2</v>
      </c>
    </row>
    <row r="309" spans="1:21" x14ac:dyDescent="0.25">
      <c r="A309" s="435" t="s">
        <v>192</v>
      </c>
      <c r="B309" s="435" t="s">
        <v>404</v>
      </c>
      <c r="C309" s="106">
        <v>2565</v>
      </c>
      <c r="D309" s="106">
        <v>9939503</v>
      </c>
      <c r="E309" s="106">
        <v>282309</v>
      </c>
      <c r="F309" s="106">
        <v>3.7130000000000001</v>
      </c>
      <c r="G309" s="106">
        <v>0.1108</v>
      </c>
    </row>
    <row r="310" spans="1:21" x14ac:dyDescent="0.25">
      <c r="A310" s="435"/>
      <c r="B310" s="435" t="s">
        <v>396</v>
      </c>
      <c r="C310" s="106">
        <v>53934</v>
      </c>
      <c r="D310" s="106">
        <v>255234265</v>
      </c>
      <c r="E310" s="106">
        <v>2457415</v>
      </c>
      <c r="F310" s="106">
        <v>95.345399999999998</v>
      </c>
      <c r="G310" s="106">
        <v>0.1268</v>
      </c>
    </row>
    <row r="311" spans="1:21" x14ac:dyDescent="0.25">
      <c r="A311" s="435"/>
      <c r="B311" s="435" t="s">
        <v>407</v>
      </c>
      <c r="C311" s="106">
        <v>647</v>
      </c>
      <c r="D311" s="106">
        <v>2520722</v>
      </c>
      <c r="E311" s="106">
        <v>147314</v>
      </c>
      <c r="F311" s="106">
        <v>0.94159999999999999</v>
      </c>
      <c r="G311" s="106">
        <v>5.4199999999999998E-2</v>
      </c>
    </row>
    <row r="312" spans="1:21" x14ac:dyDescent="0.25">
      <c r="A312" s="435"/>
      <c r="B312" s="435" t="s">
        <v>192</v>
      </c>
      <c r="C312" s="106">
        <v>57146</v>
      </c>
      <c r="D312" s="106">
        <v>267694489</v>
      </c>
      <c r="E312" s="106">
        <v>2461298</v>
      </c>
      <c r="F312" s="106">
        <v>100</v>
      </c>
      <c r="G312" s="106"/>
    </row>
    <row r="313" spans="1:21" x14ac:dyDescent="0.25">
      <c r="A313" s="122"/>
    </row>
    <row r="314" spans="1:21" x14ac:dyDescent="0.25">
      <c r="A314" s="605" t="s">
        <v>385</v>
      </c>
      <c r="B314" s="605"/>
      <c r="C314" s="605"/>
      <c r="D314" s="605"/>
      <c r="E314" s="605"/>
      <c r="F314" s="605"/>
      <c r="G314" s="605"/>
    </row>
    <row r="315" spans="1:21" x14ac:dyDescent="0.25">
      <c r="A315" s="605" t="s">
        <v>437</v>
      </c>
      <c r="B315" s="605"/>
      <c r="C315" s="605"/>
      <c r="D315" s="605"/>
      <c r="E315" s="605"/>
      <c r="F315" s="605"/>
      <c r="G315" s="605"/>
    </row>
    <row r="316" spans="1:21" x14ac:dyDescent="0.25">
      <c r="A316" s="605" t="s">
        <v>388</v>
      </c>
      <c r="B316" s="605" t="s">
        <v>389</v>
      </c>
      <c r="C316" s="605" t="s">
        <v>390</v>
      </c>
      <c r="D316" s="435" t="s">
        <v>391</v>
      </c>
      <c r="E316" s="435" t="s">
        <v>392</v>
      </c>
      <c r="F316" s="605" t="s">
        <v>393</v>
      </c>
      <c r="G316" s="435" t="s">
        <v>392</v>
      </c>
      <c r="J316" t="s">
        <v>394</v>
      </c>
    </row>
    <row r="317" spans="1:21" ht="30.75" thickBot="1" x14ac:dyDescent="0.3">
      <c r="A317" s="605"/>
      <c r="B317" s="605"/>
      <c r="C317" s="605"/>
      <c r="D317" s="435" t="s">
        <v>390</v>
      </c>
      <c r="E317" s="435" t="s">
        <v>395</v>
      </c>
      <c r="F317" s="605"/>
      <c r="G317" s="435" t="s">
        <v>393</v>
      </c>
      <c r="I317">
        <v>2016</v>
      </c>
      <c r="J317" t="s">
        <v>396</v>
      </c>
      <c r="K317" t="s">
        <v>397</v>
      </c>
      <c r="L317" t="s">
        <v>398</v>
      </c>
      <c r="P317" s="48" t="s">
        <v>399</v>
      </c>
      <c r="Q317" s="48" t="s">
        <v>400</v>
      </c>
      <c r="R317" s="48" t="s">
        <v>401</v>
      </c>
      <c r="S317" t="s">
        <v>402</v>
      </c>
      <c r="T317" s="48" t="s">
        <v>403</v>
      </c>
      <c r="U317" s="48" t="s">
        <v>396</v>
      </c>
    </row>
    <row r="318" spans="1:21" ht="30" x14ac:dyDescent="0.25">
      <c r="A318" s="435" t="s">
        <v>404</v>
      </c>
      <c r="B318" s="435" t="s">
        <v>404</v>
      </c>
      <c r="C318" s="106">
        <v>24</v>
      </c>
      <c r="D318" s="106">
        <v>97052</v>
      </c>
      <c r="E318" s="106">
        <v>27204</v>
      </c>
      <c r="F318" s="106">
        <v>3.5999999999999997E-2</v>
      </c>
      <c r="G318" s="106">
        <v>0.01</v>
      </c>
      <c r="H318" t="s">
        <v>405</v>
      </c>
      <c r="I318" t="s">
        <v>396</v>
      </c>
      <c r="J318" s="123">
        <f>D327</f>
        <v>257491202</v>
      </c>
      <c r="K318" s="124">
        <f>D326</f>
        <v>8783829</v>
      </c>
      <c r="L318" s="125">
        <f>D328</f>
        <v>2178982</v>
      </c>
      <c r="M318" s="105">
        <f>SUM(J318:L318)</f>
        <v>268454013</v>
      </c>
      <c r="N318" s="214" t="s">
        <v>406</v>
      </c>
      <c r="P318" s="110">
        <f>L318</f>
        <v>2178982</v>
      </c>
      <c r="Q318" s="111">
        <f>L319</f>
        <v>53202</v>
      </c>
      <c r="R318" s="112">
        <f>SUM(J320:L320)</f>
        <v>646546</v>
      </c>
      <c r="S318" s="113">
        <f>K318</f>
        <v>8783829</v>
      </c>
      <c r="T318" s="114">
        <f>SUM(J319:K319)</f>
        <v>276375</v>
      </c>
      <c r="U318" s="115">
        <f>J318</f>
        <v>257491202</v>
      </c>
    </row>
    <row r="319" spans="1:21" x14ac:dyDescent="0.25">
      <c r="A319" s="435"/>
      <c r="B319" s="435" t="s">
        <v>396</v>
      </c>
      <c r="C319" s="106">
        <v>40</v>
      </c>
      <c r="D319" s="106">
        <v>179323</v>
      </c>
      <c r="E319" s="106">
        <v>44401</v>
      </c>
      <c r="F319" s="106">
        <v>6.6600000000000006E-2</v>
      </c>
      <c r="G319" s="106">
        <v>1.6400000000000001E-2</v>
      </c>
      <c r="I319" t="s">
        <v>397</v>
      </c>
      <c r="J319" s="126">
        <f>D319</f>
        <v>179323</v>
      </c>
      <c r="K319" s="127">
        <f>D318</f>
        <v>97052</v>
      </c>
      <c r="L319" s="128">
        <f>D320</f>
        <v>53202</v>
      </c>
      <c r="M319" s="105">
        <f t="shared" ref="M319:M320" si="29">SUM(J319:L319)</f>
        <v>329577</v>
      </c>
      <c r="N319">
        <f>K319/(K319+J319)</f>
        <v>0.35116056083220265</v>
      </c>
    </row>
    <row r="320" spans="1:21" ht="15.75" thickBot="1" x14ac:dyDescent="0.3">
      <c r="A320" s="435"/>
      <c r="B320" s="435" t="s">
        <v>407</v>
      </c>
      <c r="C320" s="106">
        <v>18</v>
      </c>
      <c r="D320" s="106">
        <v>53202</v>
      </c>
      <c r="E320" s="106">
        <v>18256</v>
      </c>
      <c r="F320" s="106">
        <v>1.9699999999999999E-2</v>
      </c>
      <c r="G320" s="106">
        <v>6.7000000000000002E-3</v>
      </c>
      <c r="I320" t="s">
        <v>408</v>
      </c>
      <c r="J320" s="129">
        <f>D323</f>
        <v>152568</v>
      </c>
      <c r="K320" s="130">
        <f>D322</f>
        <v>202506</v>
      </c>
      <c r="L320" s="131">
        <f>D324</f>
        <v>291472</v>
      </c>
      <c r="M320" s="105">
        <f t="shared" si="29"/>
        <v>646546</v>
      </c>
    </row>
    <row r="321" spans="1:12" x14ac:dyDescent="0.25">
      <c r="A321" s="435"/>
      <c r="B321" s="435" t="s">
        <v>192</v>
      </c>
      <c r="C321" s="106">
        <v>82</v>
      </c>
      <c r="D321" s="106">
        <v>329576</v>
      </c>
      <c r="E321" s="106">
        <v>54600</v>
      </c>
      <c r="F321" s="106">
        <v>0.12230000000000001</v>
      </c>
      <c r="G321" s="106">
        <v>1.9900000000000001E-2</v>
      </c>
      <c r="J321" s="85">
        <f>SUM(J318:J320)</f>
        <v>257823093</v>
      </c>
      <c r="K321" s="85">
        <f>SUM(K318:K320)</f>
        <v>9083387</v>
      </c>
      <c r="L321" s="85">
        <f>SUM(L318:L320)</f>
        <v>2523656</v>
      </c>
    </row>
    <row r="322" spans="1:12" x14ac:dyDescent="0.25">
      <c r="A322" s="435" t="s">
        <v>401</v>
      </c>
      <c r="B322" s="435" t="s">
        <v>404</v>
      </c>
      <c r="C322" s="106">
        <v>61</v>
      </c>
      <c r="D322" s="106">
        <v>202506</v>
      </c>
      <c r="E322" s="106">
        <v>32630</v>
      </c>
      <c r="F322" s="106">
        <v>7.5200000000000003E-2</v>
      </c>
      <c r="G322" s="106">
        <v>1.2200000000000001E-2</v>
      </c>
      <c r="J322">
        <f>J320/(J320+K320+L320)</f>
        <v>0.2359739291558528</v>
      </c>
      <c r="K322">
        <f>K320/(K320+J320+L320)</f>
        <v>0.31321205297070898</v>
      </c>
      <c r="L322">
        <f>L320/(K320+L320+J320)</f>
        <v>0.45081401787343822</v>
      </c>
    </row>
    <row r="323" spans="1:12" x14ac:dyDescent="0.25">
      <c r="A323" s="435"/>
      <c r="B323" s="435" t="s">
        <v>396</v>
      </c>
      <c r="C323" s="106">
        <v>39</v>
      </c>
      <c r="D323" s="106">
        <v>152568</v>
      </c>
      <c r="E323" s="106">
        <v>32153</v>
      </c>
      <c r="F323" s="106">
        <v>5.6599999999999998E-2</v>
      </c>
      <c r="G323" s="106">
        <v>1.1900000000000001E-2</v>
      </c>
    </row>
    <row r="324" spans="1:12" x14ac:dyDescent="0.25">
      <c r="A324" s="435"/>
      <c r="B324" s="435" t="s">
        <v>407</v>
      </c>
      <c r="C324" s="106">
        <v>76</v>
      </c>
      <c r="D324" s="106">
        <v>291472</v>
      </c>
      <c r="E324" s="106">
        <v>42934</v>
      </c>
      <c r="F324" s="106">
        <v>0.1082</v>
      </c>
      <c r="G324" s="106">
        <v>1.5900000000000001E-2</v>
      </c>
      <c r="J324">
        <f>J319/(J319+K319)</f>
        <v>0.6488394391677974</v>
      </c>
      <c r="K324">
        <f>K319/(K319+J319)</f>
        <v>0.35116056083220265</v>
      </c>
    </row>
    <row r="325" spans="1:12" x14ac:dyDescent="0.25">
      <c r="A325" s="435"/>
      <c r="B325" s="435" t="s">
        <v>192</v>
      </c>
      <c r="C325" s="106">
        <v>176</v>
      </c>
      <c r="D325" s="106">
        <v>646546</v>
      </c>
      <c r="E325" s="106">
        <v>60521</v>
      </c>
      <c r="F325" s="106">
        <v>0.24</v>
      </c>
      <c r="G325" s="106">
        <v>2.2499999999999999E-2</v>
      </c>
    </row>
    <row r="326" spans="1:12" x14ac:dyDescent="0.25">
      <c r="A326" s="435" t="s">
        <v>396</v>
      </c>
      <c r="B326" s="435" t="s">
        <v>404</v>
      </c>
      <c r="C326" s="106">
        <v>2170</v>
      </c>
      <c r="D326" s="106">
        <v>8783829</v>
      </c>
      <c r="E326" s="106">
        <v>253606</v>
      </c>
      <c r="F326" s="106">
        <v>3.2602000000000002</v>
      </c>
      <c r="G326" s="106">
        <v>9.3899999999999997E-2</v>
      </c>
    </row>
    <row r="327" spans="1:12" x14ac:dyDescent="0.25">
      <c r="A327" s="435"/>
      <c r="B327" s="435" t="s">
        <v>396</v>
      </c>
      <c r="C327" s="106">
        <v>53997</v>
      </c>
      <c r="D327" s="106">
        <v>257491202</v>
      </c>
      <c r="E327" s="106">
        <v>2269414</v>
      </c>
      <c r="F327" s="106">
        <v>95.568799999999996</v>
      </c>
      <c r="G327" s="106">
        <v>0.11849999999999999</v>
      </c>
    </row>
    <row r="328" spans="1:12" x14ac:dyDescent="0.25">
      <c r="A328" s="435"/>
      <c r="B328" s="435" t="s">
        <v>407</v>
      </c>
      <c r="C328" s="106">
        <v>472</v>
      </c>
      <c r="D328" s="106">
        <v>2178982</v>
      </c>
      <c r="E328" s="106">
        <v>163588</v>
      </c>
      <c r="F328" s="106">
        <v>0.80869999999999997</v>
      </c>
      <c r="G328" s="106">
        <v>6.1600000000000002E-2</v>
      </c>
    </row>
    <row r="329" spans="1:12" x14ac:dyDescent="0.25">
      <c r="A329" s="435"/>
      <c r="B329" s="435" t="s">
        <v>192</v>
      </c>
      <c r="C329" s="106">
        <v>56639</v>
      </c>
      <c r="D329" s="106">
        <v>268454013</v>
      </c>
      <c r="E329" s="106">
        <v>2276053</v>
      </c>
      <c r="F329" s="106">
        <v>99.637699999999995</v>
      </c>
      <c r="G329" s="106">
        <v>2.9000000000000001E-2</v>
      </c>
    </row>
    <row r="330" spans="1:12" x14ac:dyDescent="0.25">
      <c r="A330" s="435" t="s">
        <v>192</v>
      </c>
      <c r="B330" s="435" t="s">
        <v>404</v>
      </c>
      <c r="C330" s="106">
        <v>2255</v>
      </c>
      <c r="D330" s="106">
        <v>9083386</v>
      </c>
      <c r="E330" s="106">
        <v>255337</v>
      </c>
      <c r="F330" s="106">
        <v>3.3713000000000002</v>
      </c>
      <c r="G330" s="106">
        <v>9.4200000000000006E-2</v>
      </c>
    </row>
    <row r="331" spans="1:12" x14ac:dyDescent="0.25">
      <c r="A331" s="435"/>
      <c r="B331" s="435" t="s">
        <v>396</v>
      </c>
      <c r="C331" s="106">
        <v>54076</v>
      </c>
      <c r="D331" s="106">
        <v>257823093</v>
      </c>
      <c r="E331" s="106">
        <v>2278764</v>
      </c>
      <c r="F331" s="106">
        <v>95.691999999999993</v>
      </c>
      <c r="G331" s="106">
        <v>0.1177</v>
      </c>
    </row>
    <row r="332" spans="1:12" x14ac:dyDescent="0.25">
      <c r="A332" s="435"/>
      <c r="B332" s="435" t="s">
        <v>407</v>
      </c>
      <c r="C332" s="106">
        <v>566</v>
      </c>
      <c r="D332" s="106">
        <v>2523656</v>
      </c>
      <c r="E332" s="106">
        <v>172048</v>
      </c>
      <c r="F332" s="106">
        <v>0.93669999999999998</v>
      </c>
      <c r="G332" s="106">
        <v>6.4600000000000005E-2</v>
      </c>
    </row>
    <row r="333" spans="1:12" x14ac:dyDescent="0.25">
      <c r="A333" s="435"/>
      <c r="B333" s="435" t="s">
        <v>192</v>
      </c>
      <c r="C333" s="106">
        <v>56897</v>
      </c>
      <c r="D333" s="106">
        <v>269430135</v>
      </c>
      <c r="E333" s="106">
        <v>2296214</v>
      </c>
      <c r="F333" s="106">
        <v>100</v>
      </c>
      <c r="G333" s="106"/>
    </row>
    <row r="334" spans="1:12" x14ac:dyDescent="0.25">
      <c r="A334" s="122"/>
    </row>
    <row r="335" spans="1:12" x14ac:dyDescent="0.25">
      <c r="A335" s="605" t="s">
        <v>385</v>
      </c>
      <c r="B335" s="605"/>
      <c r="C335" s="605"/>
      <c r="D335" s="605"/>
      <c r="E335" s="605"/>
      <c r="F335" s="605"/>
      <c r="G335" s="605"/>
    </row>
    <row r="336" spans="1:12" x14ac:dyDescent="0.25">
      <c r="A336" s="605" t="s">
        <v>438</v>
      </c>
      <c r="B336" s="605"/>
      <c r="C336" s="605"/>
      <c r="D336" s="605"/>
      <c r="E336" s="605"/>
      <c r="F336" s="605"/>
      <c r="G336" s="605"/>
    </row>
    <row r="337" spans="1:21" x14ac:dyDescent="0.25">
      <c r="A337" s="605" t="s">
        <v>388</v>
      </c>
      <c r="B337" s="605" t="s">
        <v>389</v>
      </c>
      <c r="C337" s="605" t="s">
        <v>390</v>
      </c>
      <c r="D337" s="435" t="s">
        <v>391</v>
      </c>
      <c r="E337" s="435" t="s">
        <v>392</v>
      </c>
      <c r="F337" s="605" t="s">
        <v>393</v>
      </c>
      <c r="G337" s="435" t="s">
        <v>392</v>
      </c>
      <c r="J337" t="s">
        <v>394</v>
      </c>
    </row>
    <row r="338" spans="1:21" ht="30.75" thickBot="1" x14ac:dyDescent="0.3">
      <c r="A338" s="605"/>
      <c r="B338" s="605"/>
      <c r="C338" s="605"/>
      <c r="D338" s="435" t="s">
        <v>390</v>
      </c>
      <c r="E338" s="435" t="s">
        <v>395</v>
      </c>
      <c r="F338" s="605"/>
      <c r="G338" s="435" t="s">
        <v>393</v>
      </c>
      <c r="I338">
        <v>2017</v>
      </c>
      <c r="J338" t="s">
        <v>396</v>
      </c>
      <c r="K338" t="s">
        <v>397</v>
      </c>
      <c r="L338" t="s">
        <v>398</v>
      </c>
      <c r="P338" s="48" t="s">
        <v>399</v>
      </c>
      <c r="Q338" s="48" t="s">
        <v>400</v>
      </c>
      <c r="R338" s="48" t="s">
        <v>401</v>
      </c>
      <c r="S338" t="s">
        <v>402</v>
      </c>
      <c r="T338" s="48" t="s">
        <v>403</v>
      </c>
      <c r="U338" s="48" t="s">
        <v>396</v>
      </c>
    </row>
    <row r="339" spans="1:21" ht="30" x14ac:dyDescent="0.25">
      <c r="A339" s="435" t="s">
        <v>404</v>
      </c>
      <c r="B339" s="435" t="s">
        <v>404</v>
      </c>
      <c r="C339" s="106">
        <v>32</v>
      </c>
      <c r="D339" s="106">
        <v>135309</v>
      </c>
      <c r="E339" s="106">
        <v>32134</v>
      </c>
      <c r="F339" s="106">
        <v>4.9700000000000001E-2</v>
      </c>
      <c r="G339" s="106">
        <v>1.17E-2</v>
      </c>
      <c r="H339" t="s">
        <v>405</v>
      </c>
      <c r="I339" t="s">
        <v>396</v>
      </c>
      <c r="J339" s="123">
        <f>D348</f>
        <v>260918554</v>
      </c>
      <c r="K339" s="124">
        <f>D347</f>
        <v>8379498</v>
      </c>
      <c r="L339" s="125">
        <f>D349</f>
        <v>1804716</v>
      </c>
      <c r="M339" s="105">
        <f>SUM(J339:L339)</f>
        <v>271102768</v>
      </c>
      <c r="N339" s="214" t="s">
        <v>406</v>
      </c>
      <c r="P339" s="110">
        <f>L339</f>
        <v>1804716</v>
      </c>
      <c r="Q339" s="111">
        <f>L340</f>
        <v>36606</v>
      </c>
      <c r="R339" s="112">
        <f>SUM(J341:L341)</f>
        <v>705123</v>
      </c>
      <c r="S339" s="113">
        <f>K339</f>
        <v>8379498</v>
      </c>
      <c r="T339" s="114">
        <f>SUM(J340:K340)</f>
        <v>258837</v>
      </c>
      <c r="U339" s="115">
        <f>J339</f>
        <v>260918554</v>
      </c>
    </row>
    <row r="340" spans="1:21" x14ac:dyDescent="0.25">
      <c r="A340" s="435"/>
      <c r="B340" s="435" t="s">
        <v>396</v>
      </c>
      <c r="C340" s="106">
        <v>23</v>
      </c>
      <c r="D340" s="106">
        <v>123528</v>
      </c>
      <c r="E340" s="106">
        <v>38616</v>
      </c>
      <c r="F340" s="106">
        <v>4.5400000000000003E-2</v>
      </c>
      <c r="G340" s="106">
        <v>1.4200000000000001E-2</v>
      </c>
      <c r="I340" t="s">
        <v>397</v>
      </c>
      <c r="J340" s="126">
        <f>D340</f>
        <v>123528</v>
      </c>
      <c r="K340" s="127">
        <f>D339</f>
        <v>135309</v>
      </c>
      <c r="L340" s="128">
        <f>D341</f>
        <v>36606</v>
      </c>
      <c r="M340" s="105">
        <f t="shared" ref="M340:M341" si="30">SUM(J340:L340)</f>
        <v>295443</v>
      </c>
      <c r="N340">
        <f>K340/(K340+J340)</f>
        <v>0.52275756557215547</v>
      </c>
    </row>
    <row r="341" spans="1:21" ht="15.75" thickBot="1" x14ac:dyDescent="0.3">
      <c r="A341" s="435"/>
      <c r="B341" s="435" t="s">
        <v>407</v>
      </c>
      <c r="C341" s="106">
        <v>12</v>
      </c>
      <c r="D341" s="106">
        <v>36606</v>
      </c>
      <c r="E341" s="106">
        <v>10054</v>
      </c>
      <c r="F341" s="106">
        <v>1.35E-2</v>
      </c>
      <c r="G341" s="106">
        <v>3.7000000000000002E-3</v>
      </c>
      <c r="I341" t="s">
        <v>408</v>
      </c>
      <c r="J341" s="129">
        <f>D344</f>
        <v>257051</v>
      </c>
      <c r="K341" s="130">
        <f>D343</f>
        <v>188086</v>
      </c>
      <c r="L341" s="131">
        <f>D345</f>
        <v>259986</v>
      </c>
      <c r="M341" s="105">
        <f t="shared" si="30"/>
        <v>705123</v>
      </c>
    </row>
    <row r="342" spans="1:21" x14ac:dyDescent="0.25">
      <c r="A342" s="435"/>
      <c r="B342" s="435" t="s">
        <v>192</v>
      </c>
      <c r="C342" s="106">
        <v>67</v>
      </c>
      <c r="D342" s="106">
        <v>295444</v>
      </c>
      <c r="E342" s="106">
        <v>57696</v>
      </c>
      <c r="F342" s="106">
        <v>0.1086</v>
      </c>
      <c r="G342" s="106">
        <v>2.12E-2</v>
      </c>
      <c r="J342" s="85">
        <f>SUM(J339:J341)</f>
        <v>261299133</v>
      </c>
      <c r="K342" s="85">
        <f>SUM(K339:K341)</f>
        <v>8702893</v>
      </c>
      <c r="L342" s="85">
        <f>SUM(L339:L341)</f>
        <v>2101308</v>
      </c>
    </row>
    <row r="343" spans="1:21" x14ac:dyDescent="0.25">
      <c r="A343" s="435" t="s">
        <v>401</v>
      </c>
      <c r="B343" s="435" t="s">
        <v>404</v>
      </c>
      <c r="C343" s="106">
        <v>54</v>
      </c>
      <c r="D343" s="106">
        <v>188086</v>
      </c>
      <c r="E343" s="106">
        <v>34497</v>
      </c>
      <c r="F343" s="106">
        <v>6.9099999999999995E-2</v>
      </c>
      <c r="G343" s="106">
        <v>1.26E-2</v>
      </c>
      <c r="J343">
        <f>J341/(J341+K341+L341)</f>
        <v>0.36454774557063097</v>
      </c>
      <c r="K343">
        <f>K341/(K341+J341+L341)</f>
        <v>0.26674211449633611</v>
      </c>
      <c r="L343">
        <f>L341/(K341+L341+J341)</f>
        <v>0.36871013993303298</v>
      </c>
    </row>
    <row r="344" spans="1:21" x14ac:dyDescent="0.25">
      <c r="A344" s="435"/>
      <c r="B344" s="435" t="s">
        <v>396</v>
      </c>
      <c r="C344" s="106">
        <v>53</v>
      </c>
      <c r="D344" s="106">
        <v>257051</v>
      </c>
      <c r="E344" s="106">
        <v>50688</v>
      </c>
      <c r="F344" s="106">
        <v>9.4500000000000001E-2</v>
      </c>
      <c r="G344" s="106">
        <v>1.8499999999999999E-2</v>
      </c>
    </row>
    <row r="345" spans="1:21" x14ac:dyDescent="0.25">
      <c r="A345" s="435"/>
      <c r="B345" s="435" t="s">
        <v>407</v>
      </c>
      <c r="C345" s="106">
        <v>66</v>
      </c>
      <c r="D345" s="106">
        <v>259986</v>
      </c>
      <c r="E345" s="106">
        <v>41333</v>
      </c>
      <c r="F345" s="106">
        <v>9.5500000000000002E-2</v>
      </c>
      <c r="G345" s="106">
        <v>1.52E-2</v>
      </c>
      <c r="J345">
        <f>J340/(J340+K340)</f>
        <v>0.47724243442784453</v>
      </c>
      <c r="K345">
        <f>K340/(K340+J340)</f>
        <v>0.52275756557215547</v>
      </c>
    </row>
    <row r="346" spans="1:21" x14ac:dyDescent="0.25">
      <c r="A346" s="435"/>
      <c r="B346" s="435" t="s">
        <v>192</v>
      </c>
      <c r="C346" s="106">
        <v>173</v>
      </c>
      <c r="D346" s="106">
        <v>705124</v>
      </c>
      <c r="E346" s="106">
        <v>79741</v>
      </c>
      <c r="F346" s="106">
        <v>0.2591</v>
      </c>
      <c r="G346" s="106">
        <v>2.9000000000000001E-2</v>
      </c>
    </row>
    <row r="347" spans="1:21" x14ac:dyDescent="0.25">
      <c r="A347" s="435" t="s">
        <v>396</v>
      </c>
      <c r="B347" s="435" t="s">
        <v>404</v>
      </c>
      <c r="C347" s="106">
        <v>2104</v>
      </c>
      <c r="D347" s="106">
        <v>8379498</v>
      </c>
      <c r="E347" s="106">
        <v>316868</v>
      </c>
      <c r="F347" s="106">
        <v>3.0794999999999999</v>
      </c>
      <c r="G347" s="106">
        <v>0.106</v>
      </c>
    </row>
    <row r="348" spans="1:21" x14ac:dyDescent="0.25">
      <c r="A348" s="435"/>
      <c r="B348" s="435" t="s">
        <v>396</v>
      </c>
      <c r="C348" s="106">
        <v>53475</v>
      </c>
      <c r="D348" s="106">
        <v>260918554</v>
      </c>
      <c r="E348" s="106">
        <v>1717385</v>
      </c>
      <c r="F348" s="106">
        <v>95.889499999999998</v>
      </c>
      <c r="G348" s="106">
        <v>0.1085</v>
      </c>
    </row>
    <row r="349" spans="1:21" x14ac:dyDescent="0.25">
      <c r="A349" s="435"/>
      <c r="B349" s="435" t="s">
        <v>407</v>
      </c>
      <c r="C349" s="106">
        <v>457</v>
      </c>
      <c r="D349" s="106">
        <v>1804716</v>
      </c>
      <c r="E349" s="106">
        <v>109863</v>
      </c>
      <c r="F349" s="106">
        <v>0.66320000000000001</v>
      </c>
      <c r="G349" s="106">
        <v>4.07E-2</v>
      </c>
    </row>
    <row r="350" spans="1:21" x14ac:dyDescent="0.25">
      <c r="A350" s="435"/>
      <c r="B350" s="435" t="s">
        <v>192</v>
      </c>
      <c r="C350" s="106">
        <v>56036</v>
      </c>
      <c r="D350" s="106">
        <v>271102768</v>
      </c>
      <c r="E350" s="106">
        <v>1873094</v>
      </c>
      <c r="F350" s="106">
        <v>99.632300000000001</v>
      </c>
      <c r="G350" s="106">
        <v>3.3799999999999997E-2</v>
      </c>
    </row>
    <row r="351" spans="1:21" x14ac:dyDescent="0.25">
      <c r="A351" s="435" t="s">
        <v>192</v>
      </c>
      <c r="B351" s="435" t="s">
        <v>404</v>
      </c>
      <c r="C351" s="106">
        <v>2190</v>
      </c>
      <c r="D351" s="106">
        <v>8702893</v>
      </c>
      <c r="E351" s="106">
        <v>321826</v>
      </c>
      <c r="F351" s="106">
        <v>3.1983999999999999</v>
      </c>
      <c r="G351" s="106">
        <v>0.10680000000000001</v>
      </c>
    </row>
    <row r="352" spans="1:21" x14ac:dyDescent="0.25">
      <c r="A352" s="435"/>
      <c r="B352" s="435" t="s">
        <v>396</v>
      </c>
      <c r="C352" s="106">
        <v>53551</v>
      </c>
      <c r="D352" s="106">
        <v>261299133</v>
      </c>
      <c r="E352" s="106">
        <v>1725508</v>
      </c>
      <c r="F352" s="106">
        <v>96.029399999999995</v>
      </c>
      <c r="G352" s="106">
        <v>0.1076</v>
      </c>
    </row>
    <row r="353" spans="1:21" x14ac:dyDescent="0.25">
      <c r="A353" s="435"/>
      <c r="B353" s="435" t="s">
        <v>407</v>
      </c>
      <c r="C353" s="106">
        <v>535</v>
      </c>
      <c r="D353" s="106">
        <v>2101309</v>
      </c>
      <c r="E353" s="106">
        <v>116380</v>
      </c>
      <c r="F353" s="106">
        <v>0.7722</v>
      </c>
      <c r="G353" s="106">
        <v>4.3099999999999999E-2</v>
      </c>
    </row>
    <row r="354" spans="1:21" x14ac:dyDescent="0.25">
      <c r="A354" s="435"/>
      <c r="B354" s="435" t="s">
        <v>192</v>
      </c>
      <c r="C354" s="106">
        <v>56276</v>
      </c>
      <c r="D354" s="106">
        <v>272103335</v>
      </c>
      <c r="E354" s="106">
        <v>1892182</v>
      </c>
      <c r="F354" s="106">
        <v>100</v>
      </c>
      <c r="G354" s="106"/>
    </row>
    <row r="355" spans="1:21" x14ac:dyDescent="0.25">
      <c r="A355" s="122"/>
    </row>
    <row r="356" spans="1:21" x14ac:dyDescent="0.25">
      <c r="A356" s="605" t="s">
        <v>385</v>
      </c>
      <c r="B356" s="605"/>
      <c r="C356" s="605"/>
      <c r="D356" s="605"/>
      <c r="E356" s="605"/>
      <c r="F356" s="605"/>
      <c r="G356" s="605"/>
    </row>
    <row r="357" spans="1:21" x14ac:dyDescent="0.25">
      <c r="A357" s="605" t="s">
        <v>439</v>
      </c>
      <c r="B357" s="605"/>
      <c r="C357" s="605"/>
      <c r="D357" s="605"/>
      <c r="E357" s="605"/>
      <c r="F357" s="605"/>
      <c r="G357" s="605"/>
    </row>
    <row r="358" spans="1:21" x14ac:dyDescent="0.25">
      <c r="A358" s="605" t="s">
        <v>388</v>
      </c>
      <c r="B358" s="605" t="s">
        <v>389</v>
      </c>
      <c r="C358" s="605" t="s">
        <v>390</v>
      </c>
      <c r="D358" s="435" t="s">
        <v>391</v>
      </c>
      <c r="E358" s="435" t="s">
        <v>392</v>
      </c>
      <c r="F358" s="605" t="s">
        <v>393</v>
      </c>
      <c r="G358" s="435" t="s">
        <v>392</v>
      </c>
      <c r="J358" t="s">
        <v>394</v>
      </c>
    </row>
    <row r="359" spans="1:21" ht="30.75" thickBot="1" x14ac:dyDescent="0.3">
      <c r="A359" s="605"/>
      <c r="B359" s="605"/>
      <c r="C359" s="605"/>
      <c r="D359" s="435" t="s">
        <v>390</v>
      </c>
      <c r="E359" s="435" t="s">
        <v>395</v>
      </c>
      <c r="F359" s="605"/>
      <c r="G359" s="435" t="s">
        <v>393</v>
      </c>
      <c r="I359">
        <v>2018</v>
      </c>
      <c r="J359" t="s">
        <v>396</v>
      </c>
      <c r="K359" t="s">
        <v>397</v>
      </c>
      <c r="L359" t="s">
        <v>398</v>
      </c>
      <c r="P359" s="48" t="s">
        <v>399</v>
      </c>
      <c r="Q359" s="48" t="s">
        <v>400</v>
      </c>
      <c r="R359" s="48" t="s">
        <v>401</v>
      </c>
      <c r="S359" t="s">
        <v>402</v>
      </c>
      <c r="T359" s="48" t="s">
        <v>403</v>
      </c>
      <c r="U359" s="48" t="s">
        <v>396</v>
      </c>
    </row>
    <row r="360" spans="1:21" ht="30" x14ac:dyDescent="0.25">
      <c r="A360" s="435" t="s">
        <v>404</v>
      </c>
      <c r="B360" s="435" t="s">
        <v>404</v>
      </c>
      <c r="C360" s="106">
        <v>33</v>
      </c>
      <c r="D360" s="106">
        <v>101609</v>
      </c>
      <c r="E360" s="106">
        <v>18722</v>
      </c>
      <c r="F360" s="106">
        <v>3.7100000000000001E-2</v>
      </c>
      <c r="G360" s="106">
        <v>6.7999999999999996E-3</v>
      </c>
      <c r="H360" t="s">
        <v>405</v>
      </c>
      <c r="I360" t="s">
        <v>396</v>
      </c>
      <c r="J360" s="123">
        <f>D369</f>
        <v>263415756</v>
      </c>
      <c r="K360" s="124">
        <f>D368</f>
        <v>7663420</v>
      </c>
      <c r="L360" s="125">
        <f>D370</f>
        <v>1782701</v>
      </c>
      <c r="M360" s="105">
        <f>SUM(J360:L360)</f>
        <v>272861877</v>
      </c>
      <c r="N360" s="214" t="s">
        <v>406</v>
      </c>
      <c r="P360" s="110">
        <f>L360</f>
        <v>1782701</v>
      </c>
      <c r="Q360" s="111">
        <f>L361</f>
        <v>38649</v>
      </c>
      <c r="R360" s="112">
        <f>SUM(J362:L362)</f>
        <v>592629</v>
      </c>
      <c r="S360" s="113">
        <f>K360</f>
        <v>7663420</v>
      </c>
      <c r="T360" s="114">
        <f>SUM(J361:K361)</f>
        <v>259887</v>
      </c>
      <c r="U360" s="115">
        <f>J360</f>
        <v>263415756</v>
      </c>
    </row>
    <row r="361" spans="1:21" x14ac:dyDescent="0.25">
      <c r="A361" s="435"/>
      <c r="B361" s="435" t="s">
        <v>396</v>
      </c>
      <c r="C361" s="106">
        <v>37</v>
      </c>
      <c r="D361" s="106">
        <v>158278</v>
      </c>
      <c r="E361" s="106">
        <v>36048</v>
      </c>
      <c r="F361" s="106">
        <v>5.7799999999999997E-2</v>
      </c>
      <c r="G361" s="106">
        <v>1.32E-2</v>
      </c>
      <c r="I361" t="s">
        <v>397</v>
      </c>
      <c r="J361" s="126">
        <f>D361</f>
        <v>158278</v>
      </c>
      <c r="K361" s="127">
        <f>D360</f>
        <v>101609</v>
      </c>
      <c r="L361" s="128">
        <f>D362</f>
        <v>38649</v>
      </c>
      <c r="M361" s="105">
        <f t="shared" ref="M361:M362" si="31">SUM(J361:L361)</f>
        <v>298536</v>
      </c>
      <c r="N361">
        <f>K361/(K361+J361)</f>
        <v>0.39097376936899497</v>
      </c>
    </row>
    <row r="362" spans="1:21" ht="15.75" thickBot="1" x14ac:dyDescent="0.3">
      <c r="A362" s="435"/>
      <c r="B362" s="435" t="s">
        <v>407</v>
      </c>
      <c r="C362" s="106">
        <v>12</v>
      </c>
      <c r="D362" s="106">
        <v>38649</v>
      </c>
      <c r="E362" s="106">
        <v>15986</v>
      </c>
      <c r="F362" s="106">
        <v>1.41E-2</v>
      </c>
      <c r="G362" s="106">
        <v>5.7999999999999996E-3</v>
      </c>
      <c r="I362" t="s">
        <v>408</v>
      </c>
      <c r="J362" s="129">
        <f>D365</f>
        <v>176672</v>
      </c>
      <c r="K362" s="130">
        <f>D364</f>
        <v>157951</v>
      </c>
      <c r="L362" s="131">
        <f>D366</f>
        <v>258006</v>
      </c>
      <c r="M362" s="105">
        <f t="shared" si="31"/>
        <v>592629</v>
      </c>
    </row>
    <row r="363" spans="1:21" x14ac:dyDescent="0.25">
      <c r="A363" s="435"/>
      <c r="B363" s="435" t="s">
        <v>192</v>
      </c>
      <c r="C363" s="106">
        <v>82</v>
      </c>
      <c r="D363" s="106">
        <v>298537</v>
      </c>
      <c r="E363" s="106">
        <v>44646</v>
      </c>
      <c r="F363" s="106">
        <v>0.1091</v>
      </c>
      <c r="G363" s="106">
        <v>1.6400000000000001E-2</v>
      </c>
      <c r="J363" s="85">
        <f>SUM(J360:J362)</f>
        <v>263750706</v>
      </c>
      <c r="K363" s="85">
        <f>SUM(K360:K362)</f>
        <v>7922980</v>
      </c>
      <c r="L363" s="85">
        <f>SUM(L360:L362)</f>
        <v>2079356</v>
      </c>
    </row>
    <row r="364" spans="1:21" x14ac:dyDescent="0.25">
      <c r="A364" s="435" t="s">
        <v>401</v>
      </c>
      <c r="B364" s="435" t="s">
        <v>404</v>
      </c>
      <c r="C364" s="106">
        <v>47</v>
      </c>
      <c r="D364" s="106">
        <v>157951</v>
      </c>
      <c r="E364" s="106">
        <v>27182</v>
      </c>
      <c r="F364" s="106">
        <v>5.7700000000000001E-2</v>
      </c>
      <c r="G364" s="106">
        <v>9.9000000000000008E-3</v>
      </c>
      <c r="J364">
        <f>J362/(J362+K362+L362)</f>
        <v>0.29811568451763243</v>
      </c>
      <c r="K364">
        <f>K362/(K362+J362+L362)</f>
        <v>0.26652593781269562</v>
      </c>
      <c r="L364">
        <f>L362/(K362+L362+J362)</f>
        <v>0.43535837766967189</v>
      </c>
    </row>
    <row r="365" spans="1:21" x14ac:dyDescent="0.25">
      <c r="A365" s="435"/>
      <c r="B365" s="435" t="s">
        <v>396</v>
      </c>
      <c r="C365" s="106">
        <v>33</v>
      </c>
      <c r="D365" s="106">
        <v>176672</v>
      </c>
      <c r="E365" s="106">
        <v>54491</v>
      </c>
      <c r="F365" s="106">
        <v>6.4500000000000002E-2</v>
      </c>
      <c r="G365" s="106">
        <v>1.9900000000000001E-2</v>
      </c>
    </row>
    <row r="366" spans="1:21" x14ac:dyDescent="0.25">
      <c r="A366" s="435"/>
      <c r="B366" s="435" t="s">
        <v>407</v>
      </c>
      <c r="C366" s="106">
        <v>53</v>
      </c>
      <c r="D366" s="106">
        <v>258006</v>
      </c>
      <c r="E366" s="106">
        <v>63107</v>
      </c>
      <c r="F366" s="106">
        <v>9.4200000000000006E-2</v>
      </c>
      <c r="G366" s="106">
        <v>2.3E-2</v>
      </c>
      <c r="J366">
        <f>J361/(J361+K361)</f>
        <v>0.60902623063100503</v>
      </c>
      <c r="K366">
        <f>K361/(K361+J361)</f>
        <v>0.39097376936899497</v>
      </c>
    </row>
    <row r="367" spans="1:21" x14ac:dyDescent="0.25">
      <c r="A367" s="435"/>
      <c r="B367" s="435" t="s">
        <v>192</v>
      </c>
      <c r="C367" s="106">
        <v>133</v>
      </c>
      <c r="D367" s="106">
        <v>592629</v>
      </c>
      <c r="E367" s="106">
        <v>97497</v>
      </c>
      <c r="F367" s="106">
        <v>0.2165</v>
      </c>
      <c r="G367" s="106">
        <v>3.5499999999999997E-2</v>
      </c>
    </row>
    <row r="368" spans="1:21" x14ac:dyDescent="0.25">
      <c r="A368" s="435" t="s">
        <v>396</v>
      </c>
      <c r="B368" s="435" t="s">
        <v>404</v>
      </c>
      <c r="C368" s="106">
        <v>1800</v>
      </c>
      <c r="D368" s="106">
        <v>7663420</v>
      </c>
      <c r="E368" s="106">
        <v>245121</v>
      </c>
      <c r="F368" s="106">
        <v>2.7993999999999999</v>
      </c>
      <c r="G368" s="106">
        <v>9.0700000000000003E-2</v>
      </c>
    </row>
    <row r="369" spans="1:21" x14ac:dyDescent="0.25">
      <c r="A369" s="435"/>
      <c r="B369" s="435" t="s">
        <v>396</v>
      </c>
      <c r="C369" s="106">
        <v>53922</v>
      </c>
      <c r="D369" s="106">
        <v>263415756</v>
      </c>
      <c r="E369" s="106">
        <v>1877679</v>
      </c>
      <c r="F369" s="106">
        <v>96.2239</v>
      </c>
      <c r="G369" s="106">
        <v>0.11890000000000001</v>
      </c>
    </row>
    <row r="370" spans="1:21" x14ac:dyDescent="0.25">
      <c r="A370" s="435"/>
      <c r="B370" s="435" t="s">
        <v>407</v>
      </c>
      <c r="C370" s="106">
        <v>376</v>
      </c>
      <c r="D370" s="106">
        <v>1782701</v>
      </c>
      <c r="E370" s="106">
        <v>158645</v>
      </c>
      <c r="F370" s="106">
        <v>0.6512</v>
      </c>
      <c r="G370" s="106">
        <v>5.9200000000000003E-2</v>
      </c>
    </row>
    <row r="371" spans="1:21" x14ac:dyDescent="0.25">
      <c r="A371" s="435"/>
      <c r="B371" s="435" t="s">
        <v>192</v>
      </c>
      <c r="C371" s="106">
        <v>56098</v>
      </c>
      <c r="D371" s="106">
        <v>272861877</v>
      </c>
      <c r="E371" s="106">
        <v>1821724</v>
      </c>
      <c r="F371" s="106">
        <v>99.674499999999995</v>
      </c>
      <c r="G371" s="106">
        <v>3.2800000000000003E-2</v>
      </c>
    </row>
    <row r="372" spans="1:21" x14ac:dyDescent="0.25">
      <c r="A372" s="435" t="s">
        <v>192</v>
      </c>
      <c r="B372" s="435" t="s">
        <v>404</v>
      </c>
      <c r="C372" s="106">
        <v>1880</v>
      </c>
      <c r="D372" s="106">
        <v>7922979</v>
      </c>
      <c r="E372" s="106">
        <v>248650</v>
      </c>
      <c r="F372" s="106">
        <v>2.8942000000000001</v>
      </c>
      <c r="G372" s="106">
        <v>9.1999999999999998E-2</v>
      </c>
    </row>
    <row r="373" spans="1:21" x14ac:dyDescent="0.25">
      <c r="A373" s="435"/>
      <c r="B373" s="435" t="s">
        <v>396</v>
      </c>
      <c r="C373" s="106">
        <v>53992</v>
      </c>
      <c r="D373" s="106">
        <v>263750706</v>
      </c>
      <c r="E373" s="106">
        <v>1872882</v>
      </c>
      <c r="F373" s="106">
        <v>96.346199999999996</v>
      </c>
      <c r="G373" s="106">
        <v>0.11700000000000001</v>
      </c>
    </row>
    <row r="374" spans="1:21" x14ac:dyDescent="0.25">
      <c r="A374" s="435"/>
      <c r="B374" s="435" t="s">
        <v>407</v>
      </c>
      <c r="C374" s="106">
        <v>441</v>
      </c>
      <c r="D374" s="106">
        <v>2079357</v>
      </c>
      <c r="E374" s="106">
        <v>181018</v>
      </c>
      <c r="F374" s="106">
        <v>0.75960000000000005</v>
      </c>
      <c r="G374" s="106">
        <v>6.7199999999999996E-2</v>
      </c>
    </row>
    <row r="375" spans="1:21" ht="14.65" customHeight="1" x14ac:dyDescent="0.25">
      <c r="A375" s="435"/>
      <c r="B375" s="435" t="s">
        <v>192</v>
      </c>
      <c r="C375" s="106">
        <v>56313</v>
      </c>
      <c r="D375" s="106">
        <v>273753043</v>
      </c>
      <c r="E375" s="106">
        <v>1824764</v>
      </c>
      <c r="F375" s="106">
        <v>100</v>
      </c>
      <c r="G375" s="106"/>
    </row>
    <row r="376" spans="1:21" ht="14.65" customHeight="1" x14ac:dyDescent="0.25"/>
    <row r="377" spans="1:21" x14ac:dyDescent="0.25">
      <c r="A377" s="606" t="s">
        <v>385</v>
      </c>
      <c r="B377" s="607"/>
      <c r="C377" s="607"/>
      <c r="D377" s="607"/>
      <c r="E377" s="607"/>
      <c r="F377" s="607"/>
      <c r="G377" s="607"/>
    </row>
    <row r="378" spans="1:21" x14ac:dyDescent="0.25">
      <c r="A378" s="605" t="s">
        <v>440</v>
      </c>
      <c r="B378" s="605"/>
      <c r="C378" s="605"/>
      <c r="D378" s="605"/>
      <c r="E378" s="605"/>
      <c r="F378" s="605"/>
      <c r="G378" s="605"/>
      <c r="J378" t="s">
        <v>394</v>
      </c>
    </row>
    <row r="379" spans="1:21" ht="30.75" thickBot="1" x14ac:dyDescent="0.3">
      <c r="A379" s="215" t="s">
        <v>388</v>
      </c>
      <c r="B379" s="214" t="s">
        <v>389</v>
      </c>
      <c r="C379" s="214" t="s">
        <v>390</v>
      </c>
      <c r="D379" s="214" t="s">
        <v>441</v>
      </c>
      <c r="E379" s="214" t="s">
        <v>442</v>
      </c>
      <c r="F379" s="214" t="s">
        <v>393</v>
      </c>
      <c r="G379" s="214" t="s">
        <v>443</v>
      </c>
      <c r="I379">
        <v>2019</v>
      </c>
      <c r="J379" t="s">
        <v>396</v>
      </c>
      <c r="K379" t="s">
        <v>397</v>
      </c>
      <c r="L379" t="s">
        <v>398</v>
      </c>
      <c r="P379" s="48" t="s">
        <v>399</v>
      </c>
      <c r="Q379" s="48" t="s">
        <v>400</v>
      </c>
      <c r="R379" s="48" t="s">
        <v>401</v>
      </c>
      <c r="S379" t="s">
        <v>402</v>
      </c>
      <c r="T379" s="48" t="s">
        <v>403</v>
      </c>
      <c r="U379" s="48" t="s">
        <v>396</v>
      </c>
    </row>
    <row r="380" spans="1:21" ht="30" x14ac:dyDescent="0.25">
      <c r="A380" s="215" t="s">
        <v>404</v>
      </c>
      <c r="B380" s="214" t="s">
        <v>404</v>
      </c>
      <c r="C380" s="48">
        <v>20</v>
      </c>
      <c r="D380" s="48">
        <v>65797</v>
      </c>
      <c r="E380" s="48">
        <v>19762</v>
      </c>
      <c r="F380" s="48">
        <v>2.3900000000000001E-2</v>
      </c>
      <c r="G380" s="48">
        <v>7.1000000000000004E-3</v>
      </c>
      <c r="H380" t="s">
        <v>405</v>
      </c>
      <c r="I380" t="s">
        <v>396</v>
      </c>
      <c r="J380" s="216">
        <f>D389</f>
        <v>265093638</v>
      </c>
      <c r="K380" s="217">
        <f>D388</f>
        <v>7798728</v>
      </c>
      <c r="L380" s="218">
        <f>D390</f>
        <v>1581223</v>
      </c>
      <c r="M380" s="105">
        <f>SUM(J380:L380)</f>
        <v>274473589</v>
      </c>
      <c r="N380" s="214" t="s">
        <v>406</v>
      </c>
      <c r="P380" s="110">
        <f>L380</f>
        <v>1581223</v>
      </c>
      <c r="Q380" s="111">
        <f>L381</f>
        <v>23310</v>
      </c>
      <c r="R380" s="112">
        <f>SUM(J382:L382)</f>
        <v>456633</v>
      </c>
      <c r="S380" s="113">
        <f>K380</f>
        <v>7798728</v>
      </c>
      <c r="T380" s="114">
        <f>SUM(J381:K381)</f>
        <v>267714</v>
      </c>
      <c r="U380" s="115">
        <f>J380</f>
        <v>265093638</v>
      </c>
    </row>
    <row r="381" spans="1:21" x14ac:dyDescent="0.25">
      <c r="A381" s="215" t="s">
        <v>444</v>
      </c>
      <c r="B381" s="214" t="s">
        <v>396</v>
      </c>
      <c r="C381" s="48">
        <v>27</v>
      </c>
      <c r="D381" s="48">
        <v>201917</v>
      </c>
      <c r="E381" s="48">
        <v>70655</v>
      </c>
      <c r="F381" s="48">
        <v>7.3400000000000007E-2</v>
      </c>
      <c r="G381" s="48">
        <v>2.5600000000000001E-2</v>
      </c>
      <c r="I381" t="s">
        <v>397</v>
      </c>
      <c r="J381" s="219">
        <f>D381</f>
        <v>201917</v>
      </c>
      <c r="K381" s="85">
        <f>D380</f>
        <v>65797</v>
      </c>
      <c r="L381" s="220">
        <f>D382</f>
        <v>23310</v>
      </c>
      <c r="M381" s="105">
        <f>SUM(J381:L381)</f>
        <v>291024</v>
      </c>
      <c r="N381">
        <f>K381/(K381+J381)</f>
        <v>0.24577347467820138</v>
      </c>
    </row>
    <row r="382" spans="1:21" ht="15.75" thickBot="1" x14ac:dyDescent="0.3">
      <c r="A382" s="215" t="s">
        <v>444</v>
      </c>
      <c r="B382" s="214" t="s">
        <v>407</v>
      </c>
      <c r="C382" s="48">
        <v>6</v>
      </c>
      <c r="D382" s="48">
        <v>23310</v>
      </c>
      <c r="E382" s="48">
        <v>11700</v>
      </c>
      <c r="F382" s="48">
        <v>8.5000000000000006E-3</v>
      </c>
      <c r="G382" s="48">
        <v>4.1999999999999997E-3</v>
      </c>
      <c r="I382" t="s">
        <v>408</v>
      </c>
      <c r="J382" s="221">
        <f>D385</f>
        <v>164637</v>
      </c>
      <c r="K382" s="222">
        <f>D384</f>
        <v>91435</v>
      </c>
      <c r="L382" s="223">
        <f>D386</f>
        <v>200561</v>
      </c>
      <c r="M382" s="105">
        <f>SUM(J382:L382)</f>
        <v>456633</v>
      </c>
    </row>
    <row r="383" spans="1:21" x14ac:dyDescent="0.25">
      <c r="A383" s="215" t="s">
        <v>444</v>
      </c>
      <c r="B383" s="214" t="s">
        <v>192</v>
      </c>
      <c r="C383" s="48">
        <v>53</v>
      </c>
      <c r="D383" s="48">
        <v>291025</v>
      </c>
      <c r="E383" s="48">
        <v>75019</v>
      </c>
      <c r="F383" s="48">
        <v>0.1057</v>
      </c>
      <c r="G383" s="48">
        <v>2.7099999999999999E-2</v>
      </c>
      <c r="J383" s="85">
        <f>SUM(J380:J382)</f>
        <v>265460192</v>
      </c>
      <c r="K383" s="85">
        <f>SUM(K380:K382)</f>
        <v>7955960</v>
      </c>
      <c r="L383" s="85">
        <f>SUM(L380:L382)</f>
        <v>1805094</v>
      </c>
    </row>
    <row r="384" spans="1:21" x14ac:dyDescent="0.25">
      <c r="A384" s="215" t="s">
        <v>401</v>
      </c>
      <c r="B384" s="214" t="s">
        <v>404</v>
      </c>
      <c r="C384" s="48">
        <v>34</v>
      </c>
      <c r="D384" s="48">
        <v>91435</v>
      </c>
      <c r="E384" s="48">
        <v>21617</v>
      </c>
      <c r="F384" s="48">
        <v>3.32E-2</v>
      </c>
      <c r="G384" s="48">
        <v>7.9000000000000008E-3</v>
      </c>
      <c r="J384">
        <f>J382/(J382+K382+L382)</f>
        <v>0.36054555846817904</v>
      </c>
      <c r="K384">
        <f>K382/(K382+J382+L382)</f>
        <v>0.2002373897637709</v>
      </c>
      <c r="L384">
        <f>L382/(K382+L382+J382)</f>
        <v>0.43921705176805004</v>
      </c>
    </row>
    <row r="385" spans="1:21" x14ac:dyDescent="0.25">
      <c r="A385" s="215" t="s">
        <v>444</v>
      </c>
      <c r="B385" s="214" t="s">
        <v>396</v>
      </c>
      <c r="C385" s="48">
        <v>34</v>
      </c>
      <c r="D385" s="48">
        <v>164637</v>
      </c>
      <c r="E385" s="48">
        <v>39902</v>
      </c>
      <c r="F385" s="48">
        <v>5.9799999999999999E-2</v>
      </c>
      <c r="G385" s="48">
        <v>1.4500000000000001E-2</v>
      </c>
    </row>
    <row r="386" spans="1:21" x14ac:dyDescent="0.25">
      <c r="A386" s="215" t="s">
        <v>444</v>
      </c>
      <c r="B386" s="214" t="s">
        <v>407</v>
      </c>
      <c r="C386" s="48">
        <v>44</v>
      </c>
      <c r="D386" s="48">
        <v>200561</v>
      </c>
      <c r="E386" s="48">
        <v>38458</v>
      </c>
      <c r="F386" s="48">
        <v>7.2900000000000006E-2</v>
      </c>
      <c r="G386" s="48">
        <v>1.4E-2</v>
      </c>
      <c r="J386">
        <f>J381/(J381+K381)</f>
        <v>0.75422652532179868</v>
      </c>
      <c r="K386">
        <f>K381/(K381+J381)</f>
        <v>0.24577347467820138</v>
      </c>
    </row>
    <row r="387" spans="1:21" x14ac:dyDescent="0.25">
      <c r="A387" s="215" t="s">
        <v>444</v>
      </c>
      <c r="B387" s="214" t="s">
        <v>192</v>
      </c>
      <c r="C387" s="48">
        <v>112</v>
      </c>
      <c r="D387" s="48">
        <v>456633</v>
      </c>
      <c r="E387" s="48">
        <v>64576</v>
      </c>
      <c r="F387" s="48">
        <v>0.16589999999999999</v>
      </c>
      <c r="G387" s="48">
        <v>2.3599999999999999E-2</v>
      </c>
    </row>
    <row r="388" spans="1:21" x14ac:dyDescent="0.25">
      <c r="A388" s="215" t="s">
        <v>396</v>
      </c>
      <c r="B388" s="214" t="s">
        <v>404</v>
      </c>
      <c r="C388" s="48">
        <v>1756</v>
      </c>
      <c r="D388" s="48">
        <v>7798728</v>
      </c>
      <c r="E388" s="48">
        <v>305110</v>
      </c>
      <c r="F388" s="48">
        <v>2.8336000000000001</v>
      </c>
      <c r="G388" s="48">
        <v>0.1038</v>
      </c>
    </row>
    <row r="389" spans="1:21" x14ac:dyDescent="0.25">
      <c r="A389" s="215" t="s">
        <v>444</v>
      </c>
      <c r="B389" s="214" t="s">
        <v>396</v>
      </c>
      <c r="C389" s="48">
        <v>53895</v>
      </c>
      <c r="D389" s="48">
        <v>265093638</v>
      </c>
      <c r="E389" s="48">
        <v>2637019</v>
      </c>
      <c r="F389" s="48">
        <v>96.3202</v>
      </c>
      <c r="G389" s="48">
        <v>0.11940000000000001</v>
      </c>
    </row>
    <row r="390" spans="1:21" x14ac:dyDescent="0.25">
      <c r="A390" s="215" t="s">
        <v>444</v>
      </c>
      <c r="B390" s="214" t="s">
        <v>407</v>
      </c>
      <c r="C390" s="48">
        <v>320</v>
      </c>
      <c r="D390" s="48">
        <v>1581223</v>
      </c>
      <c r="E390" s="48">
        <v>139066</v>
      </c>
      <c r="F390" s="48">
        <v>0.57450000000000001</v>
      </c>
      <c r="G390" s="48">
        <v>5.0999999999999997E-2</v>
      </c>
    </row>
    <row r="391" spans="1:21" x14ac:dyDescent="0.25">
      <c r="A391" s="215" t="s">
        <v>444</v>
      </c>
      <c r="B391" s="214" t="s">
        <v>192</v>
      </c>
      <c r="C391" s="48">
        <v>55971</v>
      </c>
      <c r="D391" s="48">
        <v>274473590</v>
      </c>
      <c r="E391" s="48">
        <v>2728182</v>
      </c>
      <c r="F391" s="48">
        <v>99.728300000000004</v>
      </c>
      <c r="G391" s="48">
        <v>3.5900000000000001E-2</v>
      </c>
    </row>
    <row r="392" spans="1:21" x14ac:dyDescent="0.25">
      <c r="A392" s="215" t="s">
        <v>192</v>
      </c>
      <c r="B392" s="214" t="s">
        <v>404</v>
      </c>
      <c r="C392" s="48">
        <v>1810</v>
      </c>
      <c r="D392" s="48">
        <v>7955961</v>
      </c>
      <c r="E392" s="48">
        <v>303717</v>
      </c>
      <c r="F392" s="48">
        <v>2.8908</v>
      </c>
      <c r="G392" s="48">
        <v>0.1026</v>
      </c>
    </row>
    <row r="393" spans="1:21" x14ac:dyDescent="0.25">
      <c r="A393" s="215" t="s">
        <v>444</v>
      </c>
      <c r="B393" s="214" t="s">
        <v>396</v>
      </c>
      <c r="C393" s="48">
        <v>53956</v>
      </c>
      <c r="D393" s="48">
        <v>265460193</v>
      </c>
      <c r="E393" s="48">
        <v>2641026</v>
      </c>
      <c r="F393" s="48">
        <v>96.453400000000002</v>
      </c>
      <c r="G393" s="48">
        <v>0.1207</v>
      </c>
    </row>
    <row r="394" spans="1:21" x14ac:dyDescent="0.25">
      <c r="A394" s="215" t="s">
        <v>444</v>
      </c>
      <c r="B394" s="214" t="s">
        <v>407</v>
      </c>
      <c r="C394" s="48">
        <v>370</v>
      </c>
      <c r="D394" s="48">
        <v>1805095</v>
      </c>
      <c r="E394" s="48">
        <v>142050</v>
      </c>
      <c r="F394" s="48">
        <v>0.65590000000000004</v>
      </c>
      <c r="G394" s="48">
        <v>5.2200000000000003E-2</v>
      </c>
    </row>
    <row r="395" spans="1:21" x14ac:dyDescent="0.25">
      <c r="A395" s="215" t="s">
        <v>444</v>
      </c>
      <c r="B395" s="214" t="s">
        <v>192</v>
      </c>
      <c r="C395" s="48">
        <v>56136</v>
      </c>
      <c r="D395" s="48">
        <v>275221248</v>
      </c>
      <c r="E395" s="48">
        <v>2734553</v>
      </c>
      <c r="F395" s="48">
        <v>100</v>
      </c>
      <c r="G395" s="48"/>
    </row>
    <row r="397" spans="1:21" x14ac:dyDescent="0.25">
      <c r="A397" s="523" t="s">
        <v>504</v>
      </c>
    </row>
    <row r="398" spans="1:21" x14ac:dyDescent="0.25">
      <c r="A398" s="605">
        <v>2020</v>
      </c>
      <c r="B398" s="605"/>
      <c r="C398" s="605"/>
      <c r="D398" s="605"/>
      <c r="E398" s="605"/>
      <c r="F398" s="605"/>
      <c r="G398" s="605"/>
    </row>
    <row r="399" spans="1:21" ht="15.75" thickBot="1" x14ac:dyDescent="0.3">
      <c r="A399" s="215"/>
      <c r="B399" s="214"/>
      <c r="C399" s="214"/>
      <c r="D399" s="214"/>
      <c r="E399" s="214"/>
      <c r="F399" s="214"/>
      <c r="G399" s="214"/>
      <c r="I399" s="48"/>
      <c r="J399" s="48"/>
      <c r="K399" s="48"/>
      <c r="L399" s="48"/>
    </row>
    <row r="400" spans="1:21" ht="30" x14ac:dyDescent="0.25">
      <c r="A400" s="525" t="s">
        <v>505</v>
      </c>
      <c r="B400" s="525" t="s">
        <v>506</v>
      </c>
      <c r="C400" s="525" t="s">
        <v>507</v>
      </c>
      <c r="D400" s="525"/>
      <c r="E400" s="525"/>
      <c r="F400" s="525"/>
      <c r="G400" s="528"/>
      <c r="H400" s="525"/>
      <c r="I400" s="525"/>
      <c r="J400" s="216"/>
      <c r="K400" s="217"/>
      <c r="L400" s="443"/>
      <c r="M400" s="105"/>
      <c r="N400" s="214"/>
      <c r="P400" s="48" t="s">
        <v>399</v>
      </c>
      <c r="Q400" s="48" t="s">
        <v>400</v>
      </c>
      <c r="R400" s="48" t="s">
        <v>401</v>
      </c>
      <c r="S400" t="s">
        <v>402</v>
      </c>
      <c r="T400" s="48" t="s">
        <v>403</v>
      </c>
      <c r="U400" s="48" t="s">
        <v>396</v>
      </c>
    </row>
    <row r="401" spans="1:21" ht="15" customHeight="1" x14ac:dyDescent="0.25">
      <c r="A401" s="525" t="s">
        <v>508</v>
      </c>
      <c r="B401" s="525"/>
      <c r="C401" s="525"/>
      <c r="D401" s="525"/>
      <c r="E401" s="525"/>
      <c r="F401" s="525"/>
      <c r="G401" s="525"/>
      <c r="H401" s="525"/>
      <c r="I401" s="525"/>
      <c r="J401" s="219"/>
      <c r="K401" s="85"/>
      <c r="L401" s="444"/>
      <c r="M401" s="105"/>
      <c r="P401" s="110">
        <f>B413</f>
        <v>2026209.659</v>
      </c>
      <c r="Q401" s="111">
        <f>B412</f>
        <v>23299.906780000001</v>
      </c>
      <c r="R401" s="112">
        <f>B409</f>
        <v>569233.59069999994</v>
      </c>
      <c r="S401" s="113">
        <f>B414</f>
        <v>6483795.7390000001</v>
      </c>
      <c r="T401" s="114">
        <f>B410</f>
        <v>379094.53269999998</v>
      </c>
      <c r="U401" s="115">
        <f>B411</f>
        <v>267430341.5</v>
      </c>
    </row>
    <row r="402" spans="1:21" ht="15.75" customHeight="1" thickBot="1" x14ac:dyDescent="0.3">
      <c r="A402" s="525" t="s">
        <v>401</v>
      </c>
      <c r="B402" s="525">
        <v>75</v>
      </c>
      <c r="C402" s="525">
        <v>0</v>
      </c>
      <c r="D402" s="525"/>
      <c r="E402" s="525"/>
      <c r="F402" s="525"/>
      <c r="G402" s="525"/>
      <c r="H402" s="525"/>
      <c r="I402" s="525"/>
      <c r="J402" s="221"/>
      <c r="K402" s="222"/>
      <c r="L402" s="223"/>
      <c r="M402" s="105"/>
    </row>
    <row r="403" spans="1:21" ht="15" customHeight="1" x14ac:dyDescent="0.25">
      <c r="A403" s="525" t="s">
        <v>509</v>
      </c>
      <c r="B403" s="525">
        <v>30</v>
      </c>
      <c r="C403" s="525">
        <v>0</v>
      </c>
      <c r="D403" s="525"/>
      <c r="E403" s="525"/>
      <c r="F403" s="525"/>
      <c r="G403" s="525"/>
      <c r="H403" s="525"/>
      <c r="I403" s="525"/>
      <c r="J403" s="85"/>
      <c r="K403" s="85"/>
      <c r="L403" s="85"/>
    </row>
    <row r="404" spans="1:21" ht="15" customHeight="1" x14ac:dyDescent="0.25">
      <c r="A404" s="525" t="s">
        <v>396</v>
      </c>
      <c r="B404" s="525">
        <v>31779</v>
      </c>
      <c r="C404" s="525">
        <v>0</v>
      </c>
      <c r="D404" s="525"/>
      <c r="E404" s="525"/>
      <c r="F404" s="525"/>
      <c r="G404" s="525"/>
      <c r="H404" s="525"/>
      <c r="I404" s="525"/>
    </row>
    <row r="405" spans="1:21" ht="15" customHeight="1" x14ac:dyDescent="0.25">
      <c r="A405" s="525" t="s">
        <v>510</v>
      </c>
      <c r="B405" s="525">
        <v>4</v>
      </c>
      <c r="C405" s="525">
        <v>0</v>
      </c>
      <c r="D405" s="525"/>
      <c r="E405" s="525"/>
      <c r="F405" s="525"/>
      <c r="G405" s="525"/>
      <c r="H405" s="525"/>
      <c r="I405" s="525"/>
    </row>
    <row r="406" spans="1:21" ht="15" customHeight="1" x14ac:dyDescent="0.25">
      <c r="A406" s="525" t="s">
        <v>511</v>
      </c>
      <c r="B406" s="525">
        <v>187</v>
      </c>
      <c r="C406" s="525">
        <v>0</v>
      </c>
      <c r="D406" s="525"/>
      <c r="E406" s="525"/>
      <c r="F406" s="525"/>
      <c r="G406" s="525"/>
      <c r="H406" s="525"/>
      <c r="I406" s="525"/>
    </row>
    <row r="407" spans="1:21" ht="15" customHeight="1" x14ac:dyDescent="0.25">
      <c r="A407" s="525" t="s">
        <v>512</v>
      </c>
      <c r="B407" s="525">
        <v>818</v>
      </c>
      <c r="C407" s="525">
        <v>0</v>
      </c>
      <c r="D407" s="525"/>
      <c r="E407" s="525"/>
      <c r="F407" s="525"/>
      <c r="G407" s="525"/>
      <c r="H407" s="525"/>
      <c r="I407" s="525"/>
    </row>
    <row r="408" spans="1:21" ht="15" customHeight="1" x14ac:dyDescent="0.25">
      <c r="A408" s="525" t="s">
        <v>391</v>
      </c>
      <c r="B408" s="525"/>
      <c r="C408" s="525"/>
      <c r="D408" s="525"/>
      <c r="E408" s="525"/>
      <c r="F408" s="525"/>
      <c r="G408" s="525"/>
      <c r="H408" s="525"/>
      <c r="I408" s="525"/>
    </row>
    <row r="409" spans="1:21" ht="15" customHeight="1" x14ac:dyDescent="0.25">
      <c r="A409" s="525" t="s">
        <v>401</v>
      </c>
      <c r="B409" s="526">
        <v>569233.59069999994</v>
      </c>
      <c r="C409" s="526">
        <v>151676.78839999999</v>
      </c>
      <c r="D409" s="529">
        <f>B409*3.11</f>
        <v>1770316.4670769998</v>
      </c>
      <c r="E409" s="526"/>
      <c r="F409" s="526"/>
      <c r="G409" s="526"/>
      <c r="H409" s="526"/>
      <c r="I409" s="526"/>
    </row>
    <row r="410" spans="1:21" ht="15" customHeight="1" x14ac:dyDescent="0.25">
      <c r="A410" s="525" t="s">
        <v>509</v>
      </c>
      <c r="B410" s="526">
        <v>379094.53269999998</v>
      </c>
      <c r="C410" s="526">
        <v>98926.718930000003</v>
      </c>
      <c r="D410" s="529">
        <f>B410*3.11</f>
        <v>1178983.996697</v>
      </c>
      <c r="E410" s="526"/>
      <c r="F410" s="526"/>
      <c r="G410" s="526"/>
      <c r="H410" s="526"/>
      <c r="I410" s="526"/>
    </row>
    <row r="411" spans="1:21" ht="15" customHeight="1" x14ac:dyDescent="0.25">
      <c r="A411" s="525" t="s">
        <v>396</v>
      </c>
      <c r="B411" s="526">
        <v>267430341.5</v>
      </c>
      <c r="C411" s="526">
        <v>3853118.1409999998</v>
      </c>
      <c r="D411" s="526"/>
      <c r="E411" s="526"/>
      <c r="F411" s="526"/>
      <c r="G411" s="526"/>
      <c r="H411" s="526"/>
      <c r="I411" s="526"/>
    </row>
    <row r="412" spans="1:21" ht="15" customHeight="1" x14ac:dyDescent="0.25">
      <c r="A412" s="525" t="s">
        <v>510</v>
      </c>
      <c r="B412" s="526">
        <v>23299.906780000001</v>
      </c>
      <c r="C412" s="526">
        <v>13900.861999999999</v>
      </c>
      <c r="D412" s="527" t="s">
        <v>513</v>
      </c>
      <c r="E412" s="526"/>
      <c r="F412" s="526"/>
      <c r="G412" s="526"/>
      <c r="H412" s="526"/>
      <c r="I412" s="526"/>
    </row>
    <row r="413" spans="1:21" ht="15" customHeight="1" x14ac:dyDescent="0.25">
      <c r="A413" s="525" t="s">
        <v>511</v>
      </c>
      <c r="B413" s="526">
        <v>2026209.659</v>
      </c>
      <c r="C413" s="526">
        <v>241713.39569999999</v>
      </c>
      <c r="D413" s="525"/>
      <c r="E413" s="525"/>
      <c r="F413" s="526"/>
      <c r="G413" s="526"/>
      <c r="H413" s="526"/>
      <c r="I413" s="526"/>
    </row>
    <row r="414" spans="1:21" ht="15" customHeight="1" x14ac:dyDescent="0.25">
      <c r="A414" s="525" t="s">
        <v>512</v>
      </c>
      <c r="B414" s="526">
        <v>6483795.7390000001</v>
      </c>
      <c r="C414" s="526">
        <v>429705.89130000002</v>
      </c>
      <c r="D414" s="525"/>
      <c r="E414" s="525"/>
      <c r="F414" s="526"/>
      <c r="G414" s="526"/>
      <c r="H414" s="526"/>
      <c r="I414" s="526"/>
    </row>
    <row r="415" spans="1:21" ht="15" customHeight="1" x14ac:dyDescent="0.25">
      <c r="A415" s="215"/>
      <c r="B415" s="214"/>
    </row>
  </sheetData>
  <mergeCells count="106">
    <mergeCell ref="A104:G104"/>
    <mergeCell ref="A105:G105"/>
    <mergeCell ref="A106:A107"/>
    <mergeCell ref="B106:B107"/>
    <mergeCell ref="C106:C107"/>
    <mergeCell ref="F106:F107"/>
    <mergeCell ref="A20:G20"/>
    <mergeCell ref="A21:G21"/>
    <mergeCell ref="A22:A23"/>
    <mergeCell ref="B22:B23"/>
    <mergeCell ref="C22:C23"/>
    <mergeCell ref="F22:F23"/>
    <mergeCell ref="A62:G62"/>
    <mergeCell ref="A63:G63"/>
    <mergeCell ref="A64:A65"/>
    <mergeCell ref="B64:B65"/>
    <mergeCell ref="C64:C65"/>
    <mergeCell ref="F64:F65"/>
    <mergeCell ref="A41:G41"/>
    <mergeCell ref="A42:G42"/>
    <mergeCell ref="A43:A44"/>
    <mergeCell ref="B43:B44"/>
    <mergeCell ref="C43:C44"/>
    <mergeCell ref="F43:F44"/>
    <mergeCell ref="A83:G83"/>
    <mergeCell ref="A84:G84"/>
    <mergeCell ref="A85:A86"/>
    <mergeCell ref="B85:B86"/>
    <mergeCell ref="C85:C86"/>
    <mergeCell ref="F85:F86"/>
    <mergeCell ref="A167:G167"/>
    <mergeCell ref="A168:G168"/>
    <mergeCell ref="A169:A170"/>
    <mergeCell ref="B169:B170"/>
    <mergeCell ref="C169:C170"/>
    <mergeCell ref="F169:F170"/>
    <mergeCell ref="A146:G146"/>
    <mergeCell ref="A147:G147"/>
    <mergeCell ref="A148:A149"/>
    <mergeCell ref="B148:B149"/>
    <mergeCell ref="C148:C149"/>
    <mergeCell ref="F148:F149"/>
    <mergeCell ref="A125:G125"/>
    <mergeCell ref="A126:G126"/>
    <mergeCell ref="A127:A128"/>
    <mergeCell ref="B127:B128"/>
    <mergeCell ref="C127:C128"/>
    <mergeCell ref="F127:F128"/>
    <mergeCell ref="A209:G209"/>
    <mergeCell ref="A210:G210"/>
    <mergeCell ref="A211:A212"/>
    <mergeCell ref="B211:B212"/>
    <mergeCell ref="C211:C212"/>
    <mergeCell ref="F211:F212"/>
    <mergeCell ref="A188:G188"/>
    <mergeCell ref="A189:G189"/>
    <mergeCell ref="A190:A191"/>
    <mergeCell ref="B190:B191"/>
    <mergeCell ref="C190:C191"/>
    <mergeCell ref="F190:F191"/>
    <mergeCell ref="A251:G251"/>
    <mergeCell ref="A252:G252"/>
    <mergeCell ref="A253:A254"/>
    <mergeCell ref="B253:B254"/>
    <mergeCell ref="C253:C254"/>
    <mergeCell ref="F253:F254"/>
    <mergeCell ref="A230:G230"/>
    <mergeCell ref="A231:G231"/>
    <mergeCell ref="A232:A233"/>
    <mergeCell ref="B232:B233"/>
    <mergeCell ref="C232:C233"/>
    <mergeCell ref="F232:F233"/>
    <mergeCell ref="A295:A296"/>
    <mergeCell ref="B295:B296"/>
    <mergeCell ref="C295:C296"/>
    <mergeCell ref="F295:F296"/>
    <mergeCell ref="A272:G272"/>
    <mergeCell ref="A273:G273"/>
    <mergeCell ref="A274:A275"/>
    <mergeCell ref="B274:B275"/>
    <mergeCell ref="C274:C275"/>
    <mergeCell ref="F274:F275"/>
    <mergeCell ref="AL2:AN5"/>
    <mergeCell ref="A398:G398"/>
    <mergeCell ref="A377:G377"/>
    <mergeCell ref="A378:G378"/>
    <mergeCell ref="A356:G356"/>
    <mergeCell ref="A357:G357"/>
    <mergeCell ref="A358:A359"/>
    <mergeCell ref="B358:B359"/>
    <mergeCell ref="C358:C359"/>
    <mergeCell ref="F358:F359"/>
    <mergeCell ref="A335:G335"/>
    <mergeCell ref="A336:G336"/>
    <mergeCell ref="A337:A338"/>
    <mergeCell ref="B337:B338"/>
    <mergeCell ref="C337:C338"/>
    <mergeCell ref="F337:F338"/>
    <mergeCell ref="A314:G314"/>
    <mergeCell ref="A315:G315"/>
    <mergeCell ref="A316:A317"/>
    <mergeCell ref="B316:B317"/>
    <mergeCell ref="C316:C317"/>
    <mergeCell ref="F316:F317"/>
    <mergeCell ref="A293:G293"/>
    <mergeCell ref="A294:G294"/>
  </mergeCells>
  <hyperlinks>
    <hyperlink ref="AS65" r:id="rId1" display="https://www.samhsa.gov/data/sites/default/files/reports/rpt35341/2020NSDUHsaeMethodology112421/NSDUHsaeMethodology2020.pdf" xr:uid="{6F1F4FA8-283D-4379-8CCC-3AE34949B39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R37"/>
  <sheetViews>
    <sheetView zoomScale="85" zoomScaleNormal="85" workbookViewId="0"/>
  </sheetViews>
  <sheetFormatPr defaultColWidth="8.7109375" defaultRowHeight="15.75" x14ac:dyDescent="0.25"/>
  <cols>
    <col min="1" max="1" width="52.28515625" style="237" customWidth="1"/>
    <col min="2" max="2" width="12.28515625" style="237" customWidth="1"/>
    <col min="3" max="3" width="10.140625" style="237" customWidth="1"/>
    <col min="4" max="4" width="10" style="237" bestFit="1" customWidth="1"/>
    <col min="5" max="6" width="10.140625" style="237" bestFit="1" customWidth="1"/>
    <col min="7" max="7" width="13" style="237" customWidth="1"/>
    <col min="8" max="8" width="10.140625" style="237" bestFit="1" customWidth="1"/>
    <col min="9" max="9" width="11.7109375" style="237" bestFit="1" customWidth="1"/>
    <col min="10" max="10" width="10.140625" style="237" bestFit="1" customWidth="1"/>
    <col min="11" max="22" width="11.7109375" style="237" bestFit="1" customWidth="1"/>
    <col min="23" max="24" width="14.7109375" style="237" customWidth="1"/>
    <col min="25" max="40" width="14.42578125" style="237" bestFit="1" customWidth="1"/>
    <col min="41" max="16384" width="8.7109375" style="237"/>
  </cols>
  <sheetData>
    <row r="1" spans="1:44" x14ac:dyDescent="0.25">
      <c r="A1" s="462"/>
      <c r="B1" s="462">
        <v>1999</v>
      </c>
      <c r="C1" s="462">
        <v>2000</v>
      </c>
      <c r="D1" s="462">
        <v>2001</v>
      </c>
      <c r="E1" s="462">
        <v>2002</v>
      </c>
      <c r="F1" s="462">
        <v>2003</v>
      </c>
      <c r="G1" s="462">
        <v>2004</v>
      </c>
      <c r="H1" s="462">
        <v>2005</v>
      </c>
      <c r="I1" s="462">
        <v>2006</v>
      </c>
      <c r="J1" s="462">
        <v>2007</v>
      </c>
      <c r="K1" s="462">
        <v>2008</v>
      </c>
      <c r="L1" s="462">
        <v>2009</v>
      </c>
      <c r="M1" s="462">
        <v>2010</v>
      </c>
      <c r="N1" s="462">
        <v>2011</v>
      </c>
      <c r="O1" s="462">
        <v>2012</v>
      </c>
      <c r="P1" s="462">
        <v>2013</v>
      </c>
      <c r="Q1" s="462">
        <v>2014</v>
      </c>
      <c r="R1" s="462">
        <v>2015</v>
      </c>
      <c r="S1" s="462">
        <v>2016</v>
      </c>
      <c r="T1" s="462">
        <v>2017</v>
      </c>
      <c r="U1" s="462">
        <v>2018</v>
      </c>
      <c r="V1" s="462">
        <v>2019</v>
      </c>
      <c r="W1" s="462">
        <v>2020</v>
      </c>
      <c r="X1" s="462"/>
      <c r="Y1" s="462"/>
      <c r="Z1" s="462"/>
      <c r="AA1" s="462"/>
      <c r="AB1" s="462"/>
      <c r="AC1" s="462"/>
      <c r="AD1" s="462"/>
      <c r="AE1" s="462"/>
      <c r="AF1" s="462"/>
      <c r="AG1" s="462"/>
      <c r="AH1" s="462"/>
      <c r="AI1" s="462"/>
      <c r="AJ1" s="462"/>
      <c r="AK1" s="462"/>
      <c r="AL1" s="462"/>
      <c r="AM1" s="462"/>
      <c r="AN1" s="462"/>
      <c r="AO1" s="462"/>
      <c r="AP1" s="462"/>
      <c r="AQ1" s="462"/>
      <c r="AR1" s="462"/>
    </row>
    <row r="2" spans="1:44" x14ac:dyDescent="0.25">
      <c r="A2" s="463" t="s">
        <v>12</v>
      </c>
      <c r="B2" s="464">
        <f t="shared" ref="B2:D2" si="0">B33</f>
        <v>737348.72370526451</v>
      </c>
      <c r="C2" s="464">
        <f t="shared" si="0"/>
        <v>670983.54912418628</v>
      </c>
      <c r="D2" s="464">
        <f t="shared" si="0"/>
        <v>732226.9959257741</v>
      </c>
      <c r="E2" s="464">
        <f t="shared" ref="E2:V2" si="1">E33</f>
        <v>764684.39245923271</v>
      </c>
      <c r="F2" s="464">
        <f t="shared" si="1"/>
        <v>673043.85125278018</v>
      </c>
      <c r="G2" s="464">
        <f t="shared" si="1"/>
        <v>882617.72652719344</v>
      </c>
      <c r="H2" s="464">
        <f t="shared" si="1"/>
        <v>728787.3099795162</v>
      </c>
      <c r="I2" s="464">
        <f t="shared" si="1"/>
        <v>995374.01559201255</v>
      </c>
      <c r="J2" s="464">
        <f t="shared" si="1"/>
        <v>772412.62550478789</v>
      </c>
      <c r="K2" s="464">
        <f t="shared" si="1"/>
        <v>1024666.0100058218</v>
      </c>
      <c r="L2" s="464">
        <f t="shared" si="1"/>
        <v>1316792.5968868218</v>
      </c>
      <c r="M2" s="464">
        <f t="shared" si="1"/>
        <v>1335599.830687297</v>
      </c>
      <c r="N2" s="464">
        <f t="shared" si="1"/>
        <v>1590808.859871615</v>
      </c>
      <c r="O2" s="464">
        <f t="shared" si="1"/>
        <v>1565981.4445320296</v>
      </c>
      <c r="P2" s="464">
        <f t="shared" si="1"/>
        <v>1667232.4977665495</v>
      </c>
      <c r="Q2" s="464">
        <f t="shared" si="1"/>
        <v>1936510.395643299</v>
      </c>
      <c r="R2" s="464">
        <f t="shared" si="1"/>
        <v>1923866.4588087033</v>
      </c>
      <c r="S2" s="464">
        <f t="shared" si="1"/>
        <v>2011537.1025247658</v>
      </c>
      <c r="T2" s="464">
        <f t="shared" si="1"/>
        <v>2193782.1536960565</v>
      </c>
      <c r="U2" s="464">
        <f t="shared" si="1"/>
        <v>1843790.2663262156</v>
      </c>
      <c r="V2" s="464">
        <f t="shared" si="1"/>
        <v>1420678.8406968592</v>
      </c>
      <c r="W2" s="464">
        <f t="shared" ref="W2" si="2">W33</f>
        <v>1771002.3535780073</v>
      </c>
      <c r="X2" s="462"/>
      <c r="Y2" s="462"/>
      <c r="Z2" s="462"/>
      <c r="AA2" s="462"/>
      <c r="AB2" s="462"/>
      <c r="AC2" s="462"/>
      <c r="AD2" s="462"/>
      <c r="AE2" s="462"/>
      <c r="AF2" s="462"/>
      <c r="AG2" s="462"/>
      <c r="AH2" s="462"/>
      <c r="AI2" s="462"/>
      <c r="AJ2" s="462"/>
      <c r="AK2" s="462"/>
      <c r="AL2" s="462"/>
      <c r="AM2" s="462"/>
      <c r="AN2" s="462"/>
      <c r="AO2" s="462"/>
      <c r="AP2" s="462"/>
      <c r="AQ2" s="462"/>
      <c r="AR2" s="462"/>
    </row>
    <row r="3" spans="1:44" x14ac:dyDescent="0.25">
      <c r="A3" s="465" t="s">
        <v>13</v>
      </c>
      <c r="B3" s="464">
        <f t="shared" ref="B3:D3" si="3">B34</f>
        <v>356879.47284337127</v>
      </c>
      <c r="C3" s="464">
        <f t="shared" si="3"/>
        <v>370784.72326854634</v>
      </c>
      <c r="D3" s="464">
        <f t="shared" si="3"/>
        <v>637207.65505353943</v>
      </c>
      <c r="E3" s="464">
        <f t="shared" ref="E3:V3" si="4">E34</f>
        <v>451003.37782476825</v>
      </c>
      <c r="F3" s="464">
        <f t="shared" si="4"/>
        <v>349907.88483673678</v>
      </c>
      <c r="G3" s="464">
        <f t="shared" si="4"/>
        <v>397415.9841143646</v>
      </c>
      <c r="H3" s="464">
        <f t="shared" si="4"/>
        <v>447929.5073541528</v>
      </c>
      <c r="I3" s="464">
        <f t="shared" si="4"/>
        <v>616584.81539219653</v>
      </c>
      <c r="J3" s="464">
        <f t="shared" si="4"/>
        <v>320958.12296520267</v>
      </c>
      <c r="K3" s="464">
        <f t="shared" si="4"/>
        <v>437111.8478133335</v>
      </c>
      <c r="L3" s="464">
        <f t="shared" si="4"/>
        <v>668803.27893350006</v>
      </c>
      <c r="M3" s="464">
        <f t="shared" si="4"/>
        <v>454736.82374049543</v>
      </c>
      <c r="N3" s="464">
        <f t="shared" si="4"/>
        <v>419471.31586152274</v>
      </c>
      <c r="O3" s="464">
        <f t="shared" si="4"/>
        <v>414767.17400770652</v>
      </c>
      <c r="P3" s="464">
        <f t="shared" si="4"/>
        <v>494109.12212676782</v>
      </c>
      <c r="Q3" s="464">
        <f t="shared" si="4"/>
        <v>872375.63989838201</v>
      </c>
      <c r="R3" s="464">
        <f t="shared" si="4"/>
        <v>571335.45089358359</v>
      </c>
      <c r="S3" s="464">
        <f t="shared" si="4"/>
        <v>859859.26246590668</v>
      </c>
      <c r="T3" s="464">
        <f t="shared" si="4"/>
        <v>805294.95040755463</v>
      </c>
      <c r="U3" s="464">
        <f t="shared" si="4"/>
        <v>808561.71558381582</v>
      </c>
      <c r="V3" s="464">
        <f t="shared" si="4"/>
        <v>832913.11656914616</v>
      </c>
      <c r="W3" s="464">
        <f t="shared" ref="W3" si="5">W34</f>
        <v>1179440.7789860861</v>
      </c>
      <c r="X3" s="462"/>
      <c r="Y3" s="462"/>
      <c r="Z3" s="462"/>
      <c r="AA3" s="466"/>
      <c r="AB3" s="466"/>
      <c r="AC3" s="466"/>
      <c r="AD3" s="466"/>
      <c r="AE3" s="466"/>
      <c r="AF3" s="466"/>
      <c r="AG3" s="466"/>
      <c r="AH3" s="466"/>
      <c r="AI3" s="466"/>
      <c r="AJ3" s="466"/>
      <c r="AK3" s="466"/>
      <c r="AL3" s="466"/>
      <c r="AM3" s="466"/>
      <c r="AN3" s="466"/>
      <c r="AO3" s="466"/>
      <c r="AP3" s="466"/>
      <c r="AQ3" s="466"/>
      <c r="AR3" s="466"/>
    </row>
    <row r="4" spans="1:44" x14ac:dyDescent="0.25">
      <c r="A4" s="467" t="s">
        <v>14</v>
      </c>
      <c r="B4" s="464">
        <f t="shared" ref="B4:D4" si="6">B35</f>
        <v>37111.385763806698</v>
      </c>
      <c r="C4" s="464">
        <f t="shared" si="6"/>
        <v>21928.612370368439</v>
      </c>
      <c r="D4" s="464">
        <f t="shared" si="6"/>
        <v>74780.455011275131</v>
      </c>
      <c r="E4" s="464">
        <f t="shared" ref="E4:V4" si="7">E35</f>
        <v>108749.05711527202</v>
      </c>
      <c r="F4" s="464">
        <f t="shared" si="7"/>
        <v>55584.787275317554</v>
      </c>
      <c r="G4" s="464">
        <f t="shared" si="7"/>
        <v>117961.33491232873</v>
      </c>
      <c r="H4" s="464">
        <f t="shared" si="7"/>
        <v>71442.598802368579</v>
      </c>
      <c r="I4" s="464">
        <f t="shared" si="7"/>
        <v>87060.847549827129</v>
      </c>
      <c r="J4" s="464">
        <f t="shared" si="7"/>
        <v>150572.98498620529</v>
      </c>
      <c r="K4" s="464">
        <f t="shared" si="7"/>
        <v>156782.95002603144</v>
      </c>
      <c r="L4" s="464">
        <f t="shared" si="7"/>
        <v>224460.99086337516</v>
      </c>
      <c r="M4" s="464">
        <f t="shared" si="7"/>
        <v>326888.07956134918</v>
      </c>
      <c r="N4" s="464">
        <f t="shared" si="7"/>
        <v>147533.33776981744</v>
      </c>
      <c r="O4" s="464">
        <f t="shared" si="7"/>
        <v>164063.16956169935</v>
      </c>
      <c r="P4" s="464">
        <f t="shared" si="7"/>
        <v>156537.16483657941</v>
      </c>
      <c r="Q4" s="464">
        <f t="shared" si="7"/>
        <v>341831.19683904713</v>
      </c>
      <c r="R4" s="464">
        <f t="shared" si="7"/>
        <v>264583.08963772282</v>
      </c>
      <c r="S4" s="464">
        <f t="shared" si="7"/>
        <v>165522.32467376272</v>
      </c>
      <c r="T4" s="464">
        <f t="shared" si="7"/>
        <v>113888.76765925638</v>
      </c>
      <c r="U4" s="464">
        <f t="shared" si="7"/>
        <v>120244.95933078184</v>
      </c>
      <c r="V4" s="464">
        <f t="shared" si="7"/>
        <v>72522.186912999678</v>
      </c>
      <c r="W4" s="464">
        <f t="shared" ref="W4" si="8">W35</f>
        <v>72490.784837178406</v>
      </c>
      <c r="X4" s="462"/>
      <c r="Y4" s="462"/>
      <c r="Z4" s="462"/>
      <c r="AA4" s="462"/>
      <c r="AB4" s="462"/>
      <c r="AC4" s="462"/>
      <c r="AD4" s="462"/>
      <c r="AE4" s="462"/>
      <c r="AF4" s="462"/>
      <c r="AG4" s="462"/>
      <c r="AH4" s="462"/>
      <c r="AI4" s="462"/>
      <c r="AJ4" s="462"/>
      <c r="AK4" s="462"/>
      <c r="AL4" s="462"/>
      <c r="AM4" s="462"/>
      <c r="AN4" s="462"/>
      <c r="AO4" s="462"/>
      <c r="AP4" s="466"/>
      <c r="AQ4" s="466"/>
      <c r="AR4" s="466"/>
    </row>
    <row r="5" spans="1:44" x14ac:dyDescent="0.25">
      <c r="A5" s="468" t="s">
        <v>15</v>
      </c>
      <c r="B5" s="464">
        <f t="shared" ref="B5:D5" si="9">B27</f>
        <v>90224.942963405862</v>
      </c>
      <c r="C5" s="464">
        <f t="shared" si="9"/>
        <v>98900.418248348738</v>
      </c>
      <c r="D5" s="464">
        <f t="shared" si="9"/>
        <v>133602.31938812023</v>
      </c>
      <c r="E5" s="464">
        <f t="shared" ref="E5:V5" si="10">E27</f>
        <v>101503.06083383159</v>
      </c>
      <c r="F5" s="464">
        <f t="shared" si="10"/>
        <v>79814.372621474424</v>
      </c>
      <c r="G5" s="464">
        <f t="shared" si="10"/>
        <v>96611.100450833866</v>
      </c>
      <c r="H5" s="464">
        <f t="shared" si="10"/>
        <v>88423.719056695409</v>
      </c>
      <c r="I5" s="464">
        <f t="shared" si="10"/>
        <v>94288.557565557843</v>
      </c>
      <c r="J5" s="464">
        <f t="shared" si="10"/>
        <v>111050.9677994348</v>
      </c>
      <c r="K5" s="464">
        <f t="shared" si="10"/>
        <v>108269.93155608705</v>
      </c>
      <c r="L5" s="464">
        <f t="shared" si="10"/>
        <v>174538.59656024375</v>
      </c>
      <c r="M5" s="464">
        <f t="shared" si="10"/>
        <v>190897.38890086298</v>
      </c>
      <c r="N5" s="464">
        <f t="shared" si="10"/>
        <v>239293.91003065923</v>
      </c>
      <c r="O5" s="464">
        <f t="shared" si="10"/>
        <v>232252.40236486623</v>
      </c>
      <c r="P5" s="464">
        <f t="shared" si="10"/>
        <v>251606.76922860506</v>
      </c>
      <c r="Q5" s="464">
        <f t="shared" si="10"/>
        <v>252320.80786155901</v>
      </c>
      <c r="R5" s="464">
        <f t="shared" si="10"/>
        <v>160675.98613825691</v>
      </c>
      <c r="S5" s="464">
        <f t="shared" si="10"/>
        <v>202332.72328521241</v>
      </c>
      <c r="T5" s="464">
        <f t="shared" si="10"/>
        <v>88100.217645512384</v>
      </c>
      <c r="U5" s="464">
        <f t="shared" si="10"/>
        <v>135611.93252714758</v>
      </c>
      <c r="V5" s="464">
        <f t="shared" si="10"/>
        <v>56912.285300718584</v>
      </c>
      <c r="W5" s="464">
        <f t="shared" ref="W5" si="11">W27</f>
        <v>0</v>
      </c>
      <c r="X5" s="462"/>
      <c r="Y5" s="462"/>
      <c r="Z5" s="462"/>
      <c r="AA5" s="462"/>
      <c r="AB5" s="462"/>
      <c r="AC5" s="462"/>
      <c r="AD5" s="462"/>
      <c r="AE5" s="462"/>
      <c r="AF5" s="462"/>
      <c r="AG5" s="462"/>
      <c r="AH5" s="462"/>
      <c r="AI5" s="462"/>
      <c r="AJ5" s="462"/>
      <c r="AK5" s="462"/>
      <c r="AL5" s="462"/>
      <c r="AM5" s="462"/>
      <c r="AN5" s="462"/>
      <c r="AO5" s="462"/>
      <c r="AP5" s="462"/>
      <c r="AQ5" s="462"/>
      <c r="AR5" s="462"/>
    </row>
    <row r="6" spans="1:44" x14ac:dyDescent="0.25">
      <c r="A6" s="465" t="s">
        <v>16</v>
      </c>
      <c r="B6" s="464">
        <f t="shared" ref="B6:D6" si="12">B28</f>
        <v>124448.19719090464</v>
      </c>
      <c r="C6" s="464">
        <f t="shared" si="12"/>
        <v>136414.36999772242</v>
      </c>
      <c r="D6" s="464">
        <f t="shared" si="12"/>
        <v>184279.06122499343</v>
      </c>
      <c r="E6" s="464">
        <f t="shared" ref="E6:V6" si="13">E28</f>
        <v>140004.22183976774</v>
      </c>
      <c r="F6" s="464">
        <f t="shared" si="13"/>
        <v>110088.78982272335</v>
      </c>
      <c r="G6" s="464">
        <f t="shared" si="13"/>
        <v>135255.54063116742</v>
      </c>
      <c r="H6" s="464">
        <f t="shared" si="13"/>
        <v>123793.20667937357</v>
      </c>
      <c r="I6" s="464">
        <f t="shared" si="13"/>
        <v>117146.3897026628</v>
      </c>
      <c r="J6" s="464">
        <f t="shared" si="13"/>
        <v>137972.41453869175</v>
      </c>
      <c r="K6" s="464">
        <f t="shared" si="13"/>
        <v>156389.90113657017</v>
      </c>
      <c r="L6" s="464">
        <f t="shared" si="13"/>
        <v>252111.30614257435</v>
      </c>
      <c r="M6" s="464">
        <f t="shared" si="13"/>
        <v>158172.12223214359</v>
      </c>
      <c r="N6" s="464">
        <f t="shared" si="13"/>
        <v>198272.0968825462</v>
      </c>
      <c r="O6" s="464">
        <f t="shared" si="13"/>
        <v>178655.69412682016</v>
      </c>
      <c r="P6" s="464">
        <f t="shared" si="13"/>
        <v>193543.6686373885</v>
      </c>
      <c r="Q6" s="464">
        <f t="shared" si="13"/>
        <v>243467.4461822061</v>
      </c>
      <c r="R6" s="464">
        <f t="shared" si="13"/>
        <v>155038.23223866898</v>
      </c>
      <c r="S6" s="464">
        <f t="shared" si="13"/>
        <v>195233.32948573129</v>
      </c>
      <c r="T6" s="464">
        <f t="shared" si="13"/>
        <v>114735.16716624868</v>
      </c>
      <c r="U6" s="464">
        <f t="shared" si="13"/>
        <v>124905.72732763592</v>
      </c>
      <c r="V6" s="464">
        <f t="shared" si="13"/>
        <v>32250.295003740532</v>
      </c>
      <c r="W6" s="464">
        <f t="shared" ref="W6" si="14">W28</f>
        <v>0</v>
      </c>
      <c r="X6" s="462"/>
      <c r="Y6" s="462"/>
      <c r="Z6" s="462"/>
      <c r="AA6" s="466"/>
      <c r="AB6" s="466"/>
      <c r="AC6" s="466"/>
      <c r="AD6" s="466"/>
      <c r="AE6" s="466"/>
      <c r="AF6" s="466"/>
      <c r="AG6" s="466"/>
      <c r="AH6" s="466"/>
      <c r="AI6" s="466"/>
      <c r="AJ6" s="466"/>
      <c r="AK6" s="466"/>
      <c r="AL6" s="466"/>
      <c r="AM6" s="466"/>
      <c r="AN6" s="466"/>
      <c r="AO6" s="466"/>
      <c r="AP6" s="466"/>
      <c r="AQ6" s="466"/>
      <c r="AR6" s="466"/>
    </row>
    <row r="7" spans="1:44" x14ac:dyDescent="0.25">
      <c r="A7" s="468" t="s">
        <v>445</v>
      </c>
      <c r="B7" s="464">
        <f t="shared" ref="B7:D7" si="15">B29</f>
        <v>108892.17254204156</v>
      </c>
      <c r="C7" s="464">
        <f t="shared" si="15"/>
        <v>119362.5737480071</v>
      </c>
      <c r="D7" s="464">
        <f t="shared" si="15"/>
        <v>161244.17857186924</v>
      </c>
      <c r="E7" s="464">
        <f t="shared" ref="E7:V7" si="16">E29</f>
        <v>122503.69410979676</v>
      </c>
      <c r="F7" s="464">
        <f t="shared" si="16"/>
        <v>96327.691094882932</v>
      </c>
      <c r="G7" s="464">
        <f t="shared" si="16"/>
        <v>135255.54063116742</v>
      </c>
      <c r="H7" s="464">
        <f t="shared" si="16"/>
        <v>123793.20667937357</v>
      </c>
      <c r="I7" s="464">
        <f t="shared" si="16"/>
        <v>68573.496411314802</v>
      </c>
      <c r="J7" s="464">
        <f t="shared" si="16"/>
        <v>80764.340217770761</v>
      </c>
      <c r="K7" s="464">
        <f t="shared" si="16"/>
        <v>96239.939160966256</v>
      </c>
      <c r="L7" s="464">
        <f t="shared" si="16"/>
        <v>155145.41916466111</v>
      </c>
      <c r="M7" s="464">
        <f t="shared" si="16"/>
        <v>92721.588894704881</v>
      </c>
      <c r="N7" s="464">
        <f t="shared" si="16"/>
        <v>116228.47058632018</v>
      </c>
      <c r="O7" s="464">
        <f t="shared" si="16"/>
        <v>74439.872552841727</v>
      </c>
      <c r="P7" s="464">
        <f t="shared" si="16"/>
        <v>80643.195265578557</v>
      </c>
      <c r="Q7" s="464">
        <f t="shared" si="16"/>
        <v>163787.19106802953</v>
      </c>
      <c r="R7" s="464">
        <f t="shared" si="16"/>
        <v>104298.44714237729</v>
      </c>
      <c r="S7" s="464">
        <f t="shared" si="16"/>
        <v>131338.78529040102</v>
      </c>
      <c r="T7" s="464">
        <f t="shared" si="16"/>
        <v>49172.214499820861</v>
      </c>
      <c r="U7" s="464">
        <f t="shared" si="16"/>
        <v>103493.31692861259</v>
      </c>
      <c r="V7" s="464">
        <f t="shared" si="16"/>
        <v>66397.666184171685</v>
      </c>
      <c r="W7" s="464">
        <f t="shared" ref="W7" si="17">W29</f>
        <v>0</v>
      </c>
      <c r="X7" s="462"/>
      <c r="Y7" s="462"/>
      <c r="Z7" s="462"/>
      <c r="AA7" s="462"/>
      <c r="AB7" s="462"/>
      <c r="AC7" s="462"/>
      <c r="AD7" s="462"/>
      <c r="AE7" s="462"/>
      <c r="AF7" s="462"/>
      <c r="AG7" s="462"/>
      <c r="AH7" s="462"/>
      <c r="AI7" s="462"/>
      <c r="AJ7" s="462"/>
      <c r="AK7" s="462"/>
      <c r="AL7" s="462"/>
      <c r="AM7" s="462"/>
      <c r="AN7" s="462"/>
      <c r="AO7" s="462"/>
      <c r="AP7" s="466"/>
      <c r="AQ7" s="466"/>
      <c r="AR7" s="466"/>
    </row>
    <row r="8" spans="1:44" x14ac:dyDescent="0.25">
      <c r="A8" s="469" t="s">
        <v>17</v>
      </c>
      <c r="B8" s="464">
        <f t="shared" ref="B8:D8" si="18">B30</f>
        <v>323565.31269635208</v>
      </c>
      <c r="C8" s="464">
        <f t="shared" si="18"/>
        <v>354677.36199407821</v>
      </c>
      <c r="D8" s="464">
        <f t="shared" si="18"/>
        <v>479125.55918498285</v>
      </c>
      <c r="E8" s="464">
        <f t="shared" ref="E8:V8" si="19">E30</f>
        <v>364010.97678339609</v>
      </c>
      <c r="F8" s="464">
        <f t="shared" si="19"/>
        <v>286230.85353908071</v>
      </c>
      <c r="G8" s="464">
        <f t="shared" si="19"/>
        <v>367122.18171316868</v>
      </c>
      <c r="H8" s="464">
        <f t="shared" si="19"/>
        <v>336010.13241544255</v>
      </c>
      <c r="I8" s="464">
        <f t="shared" si="19"/>
        <v>280008.44367953547</v>
      </c>
      <c r="J8" s="464">
        <f t="shared" si="19"/>
        <v>329787.72255589732</v>
      </c>
      <c r="K8" s="464">
        <f t="shared" si="19"/>
        <v>360899.77185362345</v>
      </c>
      <c r="L8" s="464">
        <f t="shared" si="19"/>
        <v>581795.32186747924</v>
      </c>
      <c r="M8" s="464">
        <f t="shared" si="19"/>
        <v>441791.10002771148</v>
      </c>
      <c r="N8" s="464">
        <f t="shared" si="19"/>
        <v>553794.47749952564</v>
      </c>
      <c r="O8" s="464">
        <f t="shared" si="19"/>
        <v>485347.96904452809</v>
      </c>
      <c r="P8" s="464">
        <f t="shared" si="19"/>
        <v>525793.63313157216</v>
      </c>
      <c r="Q8" s="464">
        <f t="shared" si="19"/>
        <v>659575.44511179463</v>
      </c>
      <c r="R8" s="464">
        <f t="shared" si="19"/>
        <v>420012.66551930318</v>
      </c>
      <c r="S8" s="464">
        <f t="shared" si="19"/>
        <v>528904.83806134469</v>
      </c>
      <c r="T8" s="464">
        <f t="shared" si="19"/>
        <v>252007.5993115819</v>
      </c>
      <c r="U8" s="464">
        <f t="shared" si="19"/>
        <v>364010.97678339609</v>
      </c>
      <c r="V8" s="464">
        <f t="shared" si="19"/>
        <v>155560.2464886308</v>
      </c>
      <c r="W8" s="464">
        <f t="shared" ref="W8" si="20">W30</f>
        <v>320454.10776657943</v>
      </c>
      <c r="X8" s="462"/>
      <c r="Y8" s="462"/>
      <c r="Z8" s="462"/>
      <c r="AA8" s="462"/>
      <c r="AB8" s="462"/>
      <c r="AC8" s="462"/>
      <c r="AD8" s="462"/>
      <c r="AE8" s="462"/>
      <c r="AF8" s="462"/>
      <c r="AG8" s="462"/>
      <c r="AH8" s="462"/>
      <c r="AI8" s="462"/>
      <c r="AJ8" s="462"/>
      <c r="AK8" s="462"/>
      <c r="AL8" s="462"/>
      <c r="AM8" s="462"/>
      <c r="AN8" s="462"/>
      <c r="AO8" s="462"/>
      <c r="AP8" s="462"/>
      <c r="AQ8" s="462"/>
      <c r="AR8" s="462"/>
    </row>
    <row r="9" spans="1:44" x14ac:dyDescent="0.25">
      <c r="A9" s="25" t="s">
        <v>446</v>
      </c>
      <c r="B9" s="326">
        <f>(B3*'NSDUH OUD HUD estimates'!B8)</f>
        <v>156137.62440475769</v>
      </c>
      <c r="C9" s="326">
        <f>(C3*'NSDUH OUD HUD estimates'!C8)</f>
        <v>138066.09663155564</v>
      </c>
      <c r="D9" s="326">
        <f>(D3*'NSDUH OUD HUD estimates'!D8)</f>
        <v>271403.9448939889</v>
      </c>
      <c r="E9" s="326">
        <f>(E3*'NSDUH OUD HUD estimates'!E8)</f>
        <v>247067.005883103</v>
      </c>
      <c r="F9" s="326">
        <f>(F3*'NSDUH OUD HUD estimates'!F8)</f>
        <v>130592.82692720555</v>
      </c>
      <c r="G9" s="326">
        <f>(G3*'NSDUH OUD HUD estimates'!G8)</f>
        <v>155544.69046398194</v>
      </c>
      <c r="H9" s="326">
        <f>(H3*'NSDUH OUD HUD estimates'!H8)</f>
        <v>218499.92221793078</v>
      </c>
      <c r="I9" s="326">
        <f>(I3*'NSDUH OUD HUD estimates'!I8)</f>
        <v>356410.30313996156</v>
      </c>
      <c r="J9" s="326">
        <f>(J3*'NSDUH OUD HUD estimates'!J8)</f>
        <v>231610.53979199266</v>
      </c>
      <c r="K9" s="326">
        <f>(K3*'NSDUH OUD HUD estimates'!K8)</f>
        <v>185486.92670811363</v>
      </c>
      <c r="L9" s="326">
        <f>(L3*'NSDUH OUD HUD estimates'!L8)</f>
        <v>452680.31728191557</v>
      </c>
      <c r="M9" s="326">
        <f>(M3*'NSDUH OUD HUD estimates'!M8)</f>
        <v>216194.51936496937</v>
      </c>
      <c r="N9" s="326">
        <f>(N3*'NSDUH OUD HUD estimates'!N8)</f>
        <v>197524.17858140386</v>
      </c>
      <c r="O9" s="326">
        <f>(O3*'NSDUH OUD HUD estimates'!O8)</f>
        <v>200797.16616752464</v>
      </c>
      <c r="P9" s="326">
        <f>(P3*'NSDUH OUD HUD estimates'!P8)</f>
        <v>345909.986501979</v>
      </c>
      <c r="Q9" s="326">
        <f>(Q3*'NSDUH OUD HUD estimates'!Q8)</f>
        <v>396977.30421926675</v>
      </c>
      <c r="R9" s="326">
        <f>(R3*'NSDUH OUD HUD estimates'!R8)</f>
        <v>337335.50571552565</v>
      </c>
      <c r="S9" s="326">
        <f>(S3*'NSDUH OUD HUD estimates'!S8)</f>
        <v>301948.66084429191</v>
      </c>
      <c r="T9" s="326">
        <f>(T3*'NSDUH OUD HUD estimates'!T8)</f>
        <v>420974.02784260293</v>
      </c>
      <c r="U9" s="326">
        <f>(U3*'NSDUH OUD HUD estimates'!U8)</f>
        <v>316126.42170926573</v>
      </c>
      <c r="V9" s="326">
        <f>(V3*'NSDUH OUD HUD estimates'!V8)</f>
        <v>204707.95076424885</v>
      </c>
      <c r="W9" s="326">
        <f>(W3*'NSDUH OUD HUD estimates'!W8)</f>
        <v>0</v>
      </c>
      <c r="X9" s="462"/>
      <c r="Y9" s="462"/>
      <c r="Z9" s="462"/>
      <c r="AA9" s="462"/>
      <c r="AB9" s="462"/>
      <c r="AC9" s="462"/>
      <c r="AD9" s="462"/>
      <c r="AE9" s="462"/>
      <c r="AF9" s="462"/>
      <c r="AG9" s="462"/>
      <c r="AH9" s="462"/>
      <c r="AI9" s="462"/>
      <c r="AJ9" s="462"/>
      <c r="AK9" s="462"/>
      <c r="AL9" s="462"/>
      <c r="AM9" s="462"/>
      <c r="AN9" s="462"/>
      <c r="AO9" s="462"/>
      <c r="AP9" s="462"/>
      <c r="AQ9" s="462"/>
      <c r="AR9" s="462"/>
    </row>
    <row r="10" spans="1:44" x14ac:dyDescent="0.25">
      <c r="A10" s="25" t="s">
        <v>447</v>
      </c>
      <c r="B10" s="326">
        <f>B3*(1-'NSDUH OUD HUD estimates'!B8)</f>
        <v>200741.84843861358</v>
      </c>
      <c r="C10" s="326">
        <f>C3*(1-'NSDUH OUD HUD estimates'!C8)</f>
        <v>232718.6266369907</v>
      </c>
      <c r="D10" s="326">
        <f>D3*(1-'NSDUH OUD HUD estimates'!D8)</f>
        <v>365803.7101595506</v>
      </c>
      <c r="E10" s="326">
        <f>E3*(1-'NSDUH OUD HUD estimates'!E8)</f>
        <v>203936.37194166525</v>
      </c>
      <c r="F10" s="326">
        <f>F3*(1-'NSDUH OUD HUD estimates'!F8)</f>
        <v>219315.05790953123</v>
      </c>
      <c r="G10" s="326">
        <f>G3*(1-'NSDUH OUD HUD estimates'!G8)</f>
        <v>241871.29365038266</v>
      </c>
      <c r="H10" s="326">
        <f>H3*(1-'NSDUH OUD HUD estimates'!H8)</f>
        <v>229429.58513622201</v>
      </c>
      <c r="I10" s="326">
        <f>I3*(1-'NSDUH OUD HUD estimates'!I8)</f>
        <v>260174.51225223497</v>
      </c>
      <c r="J10" s="326">
        <f>J3*(1-'NSDUH OUD HUD estimates'!J8)</f>
        <v>89347.58317320999</v>
      </c>
      <c r="K10" s="326">
        <f>K3*(1-'NSDUH OUD HUD estimates'!K8)</f>
        <v>251624.9211052199</v>
      </c>
      <c r="L10" s="326">
        <f>L3*(1-'NSDUH OUD HUD estimates'!L8)</f>
        <v>216122.96165158448</v>
      </c>
      <c r="M10" s="326">
        <f>M3*(1-'NSDUH OUD HUD estimates'!M8)</f>
        <v>238542.30437552609</v>
      </c>
      <c r="N10" s="326">
        <f>N3*(1-'NSDUH OUD HUD estimates'!N8)</f>
        <v>221947.13728011888</v>
      </c>
      <c r="O10" s="326">
        <f>O3*(1-'NSDUH OUD HUD estimates'!O8)</f>
        <v>213970.0078401819</v>
      </c>
      <c r="P10" s="326">
        <f>P3*(1-'NSDUH OUD HUD estimates'!P8)</f>
        <v>148199.13562478879</v>
      </c>
      <c r="Q10" s="326">
        <f>Q3*(1-'NSDUH OUD HUD estimates'!Q8)</f>
        <v>475398.33567911532</v>
      </c>
      <c r="R10" s="326">
        <f>R3*(1-'NSDUH OUD HUD estimates'!R8)</f>
        <v>233999.94517805794</v>
      </c>
      <c r="S10" s="326">
        <f>S3*(1-'NSDUH OUD HUD estimates'!S8)</f>
        <v>557910.60162161477</v>
      </c>
      <c r="T10" s="326">
        <f>T3*(1-'NSDUH OUD HUD estimates'!T8)</f>
        <v>384320.9225649517</v>
      </c>
      <c r="U10" s="326">
        <f>U3*(1-'NSDUH OUD HUD estimates'!U8)</f>
        <v>492435.29387455009</v>
      </c>
      <c r="V10" s="326">
        <f>V3*(1-'NSDUH OUD HUD estimates'!V8)</f>
        <v>628205.16580489732</v>
      </c>
      <c r="W10" s="326"/>
      <c r="X10" s="462"/>
      <c r="Y10" s="462"/>
      <c r="Z10" s="462"/>
      <c r="AA10" s="462"/>
      <c r="AB10" s="462"/>
      <c r="AC10" s="462"/>
      <c r="AD10" s="462"/>
      <c r="AE10" s="462"/>
      <c r="AF10" s="462"/>
      <c r="AG10" s="462"/>
      <c r="AH10" s="462"/>
      <c r="AI10" s="462"/>
      <c r="AJ10" s="462"/>
      <c r="AK10" s="462"/>
      <c r="AL10" s="462"/>
      <c r="AM10" s="462"/>
      <c r="AN10" s="462"/>
      <c r="AO10" s="462"/>
      <c r="AP10" s="462"/>
      <c r="AQ10" s="462"/>
      <c r="AR10" s="462"/>
    </row>
    <row r="11" spans="1:44" ht="52.15" customHeight="1" x14ac:dyDescent="0.25">
      <c r="A11"/>
      <c r="B11" s="464"/>
      <c r="C11" s="464"/>
      <c r="D11" s="464"/>
      <c r="E11" s="464"/>
      <c r="F11" s="464"/>
      <c r="G11" s="464"/>
      <c r="H11" s="464"/>
      <c r="I11" s="464"/>
      <c r="J11" s="464"/>
      <c r="K11" s="464"/>
      <c r="L11" s="464"/>
      <c r="M11" s="464"/>
      <c r="N11" s="464"/>
      <c r="O11" s="464"/>
      <c r="P11" s="464"/>
      <c r="Q11" s="464"/>
      <c r="R11" s="464"/>
      <c r="S11" s="464"/>
      <c r="T11" s="462"/>
      <c r="U11" s="462"/>
      <c r="V11" s="462"/>
      <c r="W11" s="462"/>
      <c r="X11" s="462"/>
      <c r="Y11" s="462"/>
      <c r="Z11" s="462"/>
      <c r="AA11" s="462"/>
      <c r="AB11" s="462"/>
      <c r="AC11" s="462"/>
      <c r="AD11" s="462"/>
      <c r="AE11" s="462"/>
      <c r="AF11" s="462"/>
      <c r="AG11" s="462"/>
      <c r="AH11" s="462"/>
      <c r="AI11" s="462"/>
      <c r="AJ11" s="462"/>
      <c r="AK11" s="462"/>
      <c r="AL11" s="462"/>
      <c r="AM11" s="462"/>
      <c r="AN11" s="462"/>
      <c r="AO11" s="462"/>
      <c r="AP11" s="462"/>
      <c r="AQ11" s="462"/>
      <c r="AR11" s="462"/>
    </row>
    <row r="12" spans="1:44" ht="21" x14ac:dyDescent="0.35">
      <c r="A12" s="563" t="s">
        <v>448</v>
      </c>
      <c r="B12" s="563"/>
      <c r="C12" s="563"/>
      <c r="D12" s="563"/>
      <c r="E12" s="563"/>
      <c r="F12" s="563"/>
      <c r="G12" s="563"/>
      <c r="H12" s="563"/>
      <c r="I12" s="563"/>
      <c r="J12" s="563"/>
      <c r="K12" s="563"/>
      <c r="L12" s="563"/>
      <c r="M12" s="563"/>
      <c r="N12" s="563"/>
      <c r="O12" s="563"/>
      <c r="P12" s="563"/>
      <c r="Q12" s="563"/>
      <c r="R12" s="563"/>
      <c r="S12" s="563"/>
      <c r="T12" s="563"/>
      <c r="U12" s="563"/>
      <c r="V12" s="563"/>
      <c r="W12" s="470"/>
      <c r="X12" s="470"/>
      <c r="Y12" s="466"/>
      <c r="Z12" s="466"/>
      <c r="AA12" s="466"/>
      <c r="AB12" s="466"/>
      <c r="AC12" s="466"/>
      <c r="AD12" s="466"/>
      <c r="AE12" s="466"/>
      <c r="AF12" s="466"/>
      <c r="AG12" s="466"/>
      <c r="AH12" s="466"/>
      <c r="AI12" s="466"/>
      <c r="AJ12" s="466"/>
      <c r="AK12" s="466"/>
      <c r="AL12" s="466"/>
      <c r="AM12" s="466"/>
      <c r="AN12" s="466"/>
      <c r="AO12" s="466"/>
      <c r="AP12" s="466"/>
      <c r="AQ12" s="462"/>
      <c r="AR12" s="462"/>
    </row>
    <row r="13" spans="1:44" ht="16.5" thickBot="1" x14ac:dyDescent="0.3">
      <c r="A13" s="462"/>
      <c r="B13" s="297">
        <v>1999</v>
      </c>
      <c r="C13" s="161">
        <v>2000</v>
      </c>
      <c r="D13" s="161">
        <v>2001</v>
      </c>
      <c r="E13" s="161">
        <v>2002</v>
      </c>
      <c r="F13" s="161">
        <v>2003</v>
      </c>
      <c r="G13" s="161">
        <v>2004</v>
      </c>
      <c r="H13" s="161">
        <v>2005</v>
      </c>
      <c r="I13" s="161">
        <v>2006</v>
      </c>
      <c r="J13" s="161">
        <v>2007</v>
      </c>
      <c r="K13" s="161">
        <v>2008</v>
      </c>
      <c r="L13" s="161">
        <v>2009</v>
      </c>
      <c r="M13" s="161">
        <v>2010</v>
      </c>
      <c r="N13" s="161">
        <v>2011</v>
      </c>
      <c r="O13" s="161">
        <v>2012</v>
      </c>
      <c r="P13" s="161">
        <v>2013</v>
      </c>
      <c r="Q13" s="161">
        <v>2014</v>
      </c>
      <c r="R13" s="161">
        <v>2015</v>
      </c>
      <c r="S13" s="161">
        <v>2016</v>
      </c>
      <c r="T13" s="462"/>
      <c r="U13" s="161"/>
      <c r="V13" s="161"/>
      <c r="W13" s="470"/>
      <c r="X13" s="470"/>
      <c r="Y13" s="471"/>
      <c r="Z13" s="471"/>
      <c r="AA13" s="471"/>
      <c r="AB13" s="471"/>
      <c r="AC13" s="471"/>
      <c r="AD13" s="471"/>
      <c r="AE13" s="471"/>
      <c r="AF13" s="471"/>
      <c r="AG13" s="471"/>
      <c r="AH13" s="471"/>
      <c r="AI13" s="471"/>
      <c r="AJ13" s="471"/>
      <c r="AK13" s="471"/>
      <c r="AL13" s="471"/>
      <c r="AM13" s="471"/>
      <c r="AN13" s="471"/>
      <c r="AO13" s="471"/>
      <c r="AP13" s="471"/>
      <c r="AQ13" s="462"/>
      <c r="AR13" s="462"/>
    </row>
    <row r="14" spans="1:44" ht="32.25" thickBot="1" x14ac:dyDescent="0.3">
      <c r="A14" s="306" t="s">
        <v>449</v>
      </c>
      <c r="B14" s="472"/>
      <c r="C14" s="472">
        <v>1.5</v>
      </c>
      <c r="D14" s="472">
        <v>1.7</v>
      </c>
      <c r="E14" s="472">
        <v>1.5</v>
      </c>
      <c r="F14" s="472">
        <v>1.5</v>
      </c>
      <c r="G14" s="472">
        <v>1.6</v>
      </c>
      <c r="H14" s="472">
        <v>1.6</v>
      </c>
      <c r="I14" s="472">
        <v>1.6</v>
      </c>
      <c r="J14" s="472">
        <v>1.6</v>
      </c>
      <c r="K14" s="472">
        <v>1.7</v>
      </c>
      <c r="L14" s="472">
        <v>1.9</v>
      </c>
      <c r="M14" s="472">
        <v>1.9</v>
      </c>
      <c r="N14" s="472">
        <v>1.9</v>
      </c>
      <c r="O14" s="472">
        <v>2</v>
      </c>
      <c r="P14" s="472">
        <v>2.2000000000000002</v>
      </c>
      <c r="Q14" s="472">
        <v>2.2000000000000002</v>
      </c>
      <c r="R14" s="472">
        <v>2.2000000000000002</v>
      </c>
      <c r="S14" s="473">
        <v>2.2999999999999998</v>
      </c>
      <c r="T14" s="462"/>
      <c r="U14" s="462"/>
      <c r="V14" s="462"/>
      <c r="W14" s="470"/>
      <c r="X14" s="470"/>
      <c r="Y14" s="474"/>
      <c r="Z14" s="474"/>
      <c r="AA14" s="474"/>
      <c r="AB14" s="474"/>
      <c r="AC14" s="474"/>
      <c r="AD14" s="474"/>
      <c r="AE14" s="474"/>
      <c r="AF14" s="474"/>
      <c r="AG14" s="474"/>
      <c r="AH14" s="474"/>
      <c r="AI14" s="474"/>
      <c r="AJ14" s="474"/>
      <c r="AK14" s="474"/>
      <c r="AL14" s="474"/>
      <c r="AM14" s="474"/>
      <c r="AN14" s="474"/>
      <c r="AO14" s="474"/>
      <c r="AP14" s="462"/>
      <c r="AQ14" s="462"/>
      <c r="AR14" s="462"/>
    </row>
    <row r="15" spans="1:44" x14ac:dyDescent="0.25">
      <c r="A15" s="462"/>
      <c r="B15" s="462"/>
      <c r="C15" s="462"/>
      <c r="D15" s="462"/>
      <c r="E15" s="462"/>
      <c r="F15" s="462"/>
      <c r="G15" s="524"/>
      <c r="H15" s="524"/>
      <c r="I15" s="524"/>
      <c r="J15" s="524"/>
      <c r="K15" s="524"/>
      <c r="L15" s="462"/>
      <c r="M15" s="462"/>
      <c r="N15" s="462"/>
      <c r="O15" s="462"/>
      <c r="P15" s="462"/>
      <c r="Q15" s="462"/>
      <c r="R15" s="462"/>
      <c r="S15" s="462"/>
      <c r="T15" s="462"/>
      <c r="U15" s="462"/>
      <c r="V15" s="462"/>
      <c r="W15" s="470"/>
      <c r="X15" s="470"/>
      <c r="Y15" s="474"/>
      <c r="Z15" s="474"/>
      <c r="AA15" s="474"/>
      <c r="AB15" s="474"/>
      <c r="AC15" s="474"/>
      <c r="AD15" s="474"/>
      <c r="AE15" s="474"/>
      <c r="AF15" s="474"/>
      <c r="AG15" s="474"/>
      <c r="AH15" s="474"/>
      <c r="AI15" s="474"/>
      <c r="AJ15" s="474"/>
      <c r="AK15" s="474"/>
      <c r="AL15" s="474"/>
      <c r="AM15" s="474"/>
      <c r="AN15" s="474"/>
      <c r="AO15" s="474"/>
      <c r="AP15" s="462"/>
      <c r="AQ15" s="462"/>
      <c r="AR15" s="462"/>
    </row>
    <row r="16" spans="1:44" x14ac:dyDescent="0.25">
      <c r="A16" s="462"/>
      <c r="B16" s="462"/>
      <c r="C16" s="462"/>
      <c r="D16" s="462"/>
      <c r="E16" s="462"/>
      <c r="F16" s="462"/>
      <c r="G16" s="462"/>
      <c r="H16" s="462"/>
      <c r="I16" s="462"/>
      <c r="J16" s="462"/>
      <c r="K16" s="462"/>
      <c r="L16" s="462"/>
      <c r="M16" s="462"/>
      <c r="N16" s="462"/>
      <c r="O16" s="462"/>
      <c r="P16" s="462"/>
      <c r="Q16" s="462"/>
      <c r="R16" s="462"/>
      <c r="S16" s="462"/>
      <c r="T16" s="462"/>
      <c r="U16" s="462"/>
      <c r="V16" s="462"/>
      <c r="W16" s="470"/>
      <c r="X16" s="470"/>
      <c r="Y16" s="474"/>
      <c r="Z16" s="474"/>
      <c r="AA16" s="474"/>
      <c r="AB16" s="474"/>
      <c r="AC16" s="474"/>
      <c r="AD16" s="474"/>
      <c r="AE16" s="474"/>
      <c r="AF16" s="474"/>
      <c r="AG16" s="474"/>
      <c r="AH16" s="474"/>
      <c r="AI16" s="474"/>
      <c r="AJ16" s="474"/>
      <c r="AK16" s="474"/>
      <c r="AL16" s="474"/>
      <c r="AM16" s="474"/>
      <c r="AN16" s="474"/>
      <c r="AO16" s="474"/>
      <c r="AP16" s="462"/>
      <c r="AQ16" s="462"/>
      <c r="AR16" s="462"/>
    </row>
    <row r="17" spans="1:42" ht="16.5" thickBot="1" x14ac:dyDescent="0.3">
      <c r="A17" s="462"/>
      <c r="B17" s="462"/>
      <c r="C17" s="462"/>
      <c r="D17" s="462"/>
      <c r="E17" s="462"/>
      <c r="F17" s="462"/>
      <c r="G17" s="462"/>
      <c r="H17" s="462"/>
      <c r="I17" s="462"/>
      <c r="J17" s="462"/>
      <c r="K17" s="462"/>
      <c r="L17" s="462"/>
      <c r="M17" s="462"/>
      <c r="N17" s="462"/>
      <c r="O17" s="462"/>
      <c r="P17" s="462"/>
      <c r="Q17" s="462"/>
      <c r="R17" s="462"/>
      <c r="S17" s="462"/>
      <c r="T17" s="462"/>
      <c r="U17" s="462"/>
      <c r="V17" s="462"/>
      <c r="W17" s="462"/>
      <c r="X17" s="462"/>
      <c r="Y17" s="462" t="s">
        <v>450</v>
      </c>
      <c r="Z17" s="474"/>
      <c r="AA17" s="474"/>
      <c r="AB17" s="474"/>
      <c r="AC17" s="474"/>
      <c r="AD17" s="474"/>
      <c r="AE17" s="474"/>
      <c r="AF17" s="474"/>
      <c r="AG17" s="474"/>
      <c r="AH17" s="474"/>
      <c r="AI17" s="474"/>
      <c r="AJ17" s="474"/>
      <c r="AK17" s="474"/>
      <c r="AL17" s="474"/>
      <c r="AM17" s="474"/>
      <c r="AN17" s="474"/>
      <c r="AO17" s="474"/>
      <c r="AP17" s="474"/>
    </row>
    <row r="18" spans="1:42" x14ac:dyDescent="0.25">
      <c r="A18" s="305" t="s">
        <v>451</v>
      </c>
      <c r="B18" s="307">
        <v>1999</v>
      </c>
      <c r="C18" s="308">
        <v>2000</v>
      </c>
      <c r="D18" s="308">
        <v>2001</v>
      </c>
      <c r="E18" s="308">
        <v>2002</v>
      </c>
      <c r="F18" s="308">
        <v>2003</v>
      </c>
      <c r="G18" s="308">
        <v>2004</v>
      </c>
      <c r="H18" s="308">
        <v>2005</v>
      </c>
      <c r="I18" s="308">
        <v>2006</v>
      </c>
      <c r="J18" s="308">
        <v>2007</v>
      </c>
      <c r="K18" s="308">
        <v>2008</v>
      </c>
      <c r="L18" s="308">
        <v>2009</v>
      </c>
      <c r="M18" s="308">
        <v>2010</v>
      </c>
      <c r="N18" s="308">
        <v>2011</v>
      </c>
      <c r="O18" s="308">
        <v>2012</v>
      </c>
      <c r="P18" s="308">
        <v>2013</v>
      </c>
      <c r="Q18" s="308">
        <v>2014</v>
      </c>
      <c r="R18" s="308">
        <v>2015</v>
      </c>
      <c r="S18" s="308">
        <v>2016</v>
      </c>
      <c r="T18" s="307">
        <v>2017</v>
      </c>
      <c r="U18" s="308">
        <v>2018</v>
      </c>
      <c r="V18" s="308">
        <v>2019</v>
      </c>
      <c r="W18" s="309">
        <v>2020</v>
      </c>
      <c r="X18" s="161"/>
      <c r="Y18" s="462" t="s">
        <v>452</v>
      </c>
      <c r="Z18" s="462"/>
      <c r="AA18" s="462"/>
      <c r="AB18" s="462"/>
      <c r="AC18" s="462"/>
      <c r="AD18" s="462"/>
      <c r="AE18" s="462"/>
      <c r="AF18" s="462"/>
      <c r="AG18" s="462"/>
      <c r="AH18" s="462"/>
      <c r="AI18" s="462"/>
      <c r="AJ18" s="462"/>
      <c r="AK18" s="462"/>
      <c r="AL18" s="462"/>
      <c r="AM18" s="462"/>
      <c r="AN18" s="462"/>
      <c r="AO18" s="462"/>
      <c r="AP18" s="462"/>
    </row>
    <row r="19" spans="1:42" x14ac:dyDescent="0.25">
      <c r="A19" s="475" t="s">
        <v>401</v>
      </c>
      <c r="B19" s="476">
        <f>'NSDUH OUD HUD estimates'!B4/1000000</f>
        <v>0.23699779999999998</v>
      </c>
      <c r="C19" s="476">
        <f>'NSDUH OUD HUD estimates'!C4/1000000</f>
        <v>0.21566678</v>
      </c>
      <c r="D19" s="476">
        <f>'NSDUH OUD HUD estimates'!D4/1000000</f>
        <v>0.23535157999999998</v>
      </c>
      <c r="E19" s="476">
        <f>'NSDUH OUD HUD estimates'!E4/1000000</f>
        <v>0.245784</v>
      </c>
      <c r="F19" s="476">
        <f>'NSDUH OUD HUD estimates'!F4/1000000</f>
        <v>0.21632899999999999</v>
      </c>
      <c r="G19" s="476">
        <f>'NSDUH OUD HUD estimates'!G4/1000000</f>
        <v>0.28369</v>
      </c>
      <c r="H19" s="476">
        <f>'NSDUH OUD HUD estimates'!H4/1000000</f>
        <v>0.23424600000000001</v>
      </c>
      <c r="I19" s="476">
        <f>'NSDUH OUD HUD estimates'!I4/1000000</f>
        <v>0.31993199999999999</v>
      </c>
      <c r="J19" s="476">
        <f>'NSDUH OUD HUD estimates'!J4/1000000</f>
        <v>0.24826799999999999</v>
      </c>
      <c r="K19" s="476">
        <f>'NSDUH OUD HUD estimates'!K4/1000000</f>
        <v>0.329347</v>
      </c>
      <c r="L19" s="476">
        <f>'NSDUH OUD HUD estimates'!L4/1000000</f>
        <v>0.42324200000000001</v>
      </c>
      <c r="M19" s="476">
        <f>'NSDUH OUD HUD estimates'!M4/1000000</f>
        <v>0.42928699999999997</v>
      </c>
      <c r="N19" s="476">
        <f>'NSDUH OUD HUD estimates'!N4/1000000</f>
        <v>0.51131599999999999</v>
      </c>
      <c r="O19" s="476">
        <f>'NSDUH OUD HUD estimates'!O4/1000000</f>
        <v>0.50333600000000001</v>
      </c>
      <c r="P19" s="476">
        <f>'NSDUH OUD HUD estimates'!P4/1000000</f>
        <v>0.53588000000000002</v>
      </c>
      <c r="Q19" s="476">
        <f>'NSDUH OUD HUD estimates'!Q4/1000000</f>
        <v>0.62243099999999996</v>
      </c>
      <c r="R19" s="476">
        <f>'NSDUH OUD HUD estimates'!R4/1000000</f>
        <v>0.618367</v>
      </c>
      <c r="S19" s="476">
        <f>'NSDUH OUD HUD estimates'!S4/1000000</f>
        <v>0.64654599999999995</v>
      </c>
      <c r="T19" s="476">
        <f>'NSDUH OUD HUD estimates'!T4/1000000</f>
        <v>0.70512300000000006</v>
      </c>
      <c r="U19" s="476">
        <f>'NSDUH OUD HUD estimates'!U4/1000000</f>
        <v>0.59262899999999996</v>
      </c>
      <c r="V19" s="476">
        <f>'NSDUH OUD HUD estimates'!V4/1000000</f>
        <v>0.45663300000000001</v>
      </c>
      <c r="W19" s="520">
        <f>'NSDUH OUD HUD estimates'!W4/1000000</f>
        <v>0.5692335906999999</v>
      </c>
      <c r="X19" s="462"/>
      <c r="Y19" s="462" t="s">
        <v>453</v>
      </c>
      <c r="Z19" s="462"/>
      <c r="AA19" s="462"/>
      <c r="AB19" s="462"/>
      <c r="AC19" s="462"/>
      <c r="AD19" s="462"/>
      <c r="AE19" s="462"/>
      <c r="AF19" s="462"/>
      <c r="AG19" s="462"/>
      <c r="AH19" s="462"/>
      <c r="AI19" s="462"/>
      <c r="AJ19" s="462"/>
      <c r="AK19" s="462"/>
      <c r="AL19" s="462"/>
      <c r="AM19" s="462"/>
      <c r="AN19" s="462"/>
      <c r="AO19" s="462"/>
      <c r="AP19" s="462"/>
    </row>
    <row r="20" spans="1:42" x14ac:dyDescent="0.25">
      <c r="A20" s="475" t="s">
        <v>411</v>
      </c>
      <c r="B20" s="476">
        <f>'NSDUH OUD HUD estimates'!B6/1000000</f>
        <v>0.1147078</v>
      </c>
      <c r="C20" s="476">
        <f>'NSDUH OUD HUD estimates'!C6/1000000</f>
        <v>0.11917721000000001</v>
      </c>
      <c r="D20" s="476">
        <f>'NSDUH OUD HUD estimates'!D6/1000000</f>
        <v>0.20481057</v>
      </c>
      <c r="E20" s="476">
        <f>'NSDUH OUD HUD estimates'!E6/1000000</f>
        <v>0.14496100000000001</v>
      </c>
      <c r="F20" s="476">
        <f>'NSDUH OUD HUD estimates'!F6/1000000</f>
        <v>0.112467</v>
      </c>
      <c r="G20" s="476">
        <f>'NSDUH OUD HUD estimates'!G6/1000000</f>
        <v>0.12773699999999999</v>
      </c>
      <c r="H20" s="476">
        <f>'NSDUH OUD HUD estimates'!H6/1000000</f>
        <v>0.14397299999999999</v>
      </c>
      <c r="I20" s="476">
        <f>'NSDUH OUD HUD estimates'!I6/1000000</f>
        <v>0.198182</v>
      </c>
      <c r="J20" s="476">
        <f>'NSDUH OUD HUD estimates'!J6/1000000</f>
        <v>0.103162</v>
      </c>
      <c r="K20" s="476">
        <f>'NSDUH OUD HUD estimates'!K6/1000000</f>
        <v>0.14049600000000001</v>
      </c>
      <c r="L20" s="476">
        <f>'NSDUH OUD HUD estimates'!L6/1000000</f>
        <v>0.21496599999999999</v>
      </c>
      <c r="M20" s="476">
        <f>'NSDUH OUD HUD estimates'!M6/1000000</f>
        <v>0.14616100000000001</v>
      </c>
      <c r="N20" s="476">
        <f>'NSDUH OUD HUD estimates'!N6/1000000</f>
        <v>0.134826</v>
      </c>
      <c r="O20" s="476">
        <f>'NSDUH OUD HUD estimates'!O6/1000000</f>
        <v>0.13331399999999999</v>
      </c>
      <c r="P20" s="476">
        <f>'NSDUH OUD HUD estimates'!P6/1000000</f>
        <v>0.15881600000000001</v>
      </c>
      <c r="Q20" s="476">
        <f>'NSDUH OUD HUD estimates'!Q6/1000000</f>
        <v>0.28039799999999998</v>
      </c>
      <c r="R20" s="476">
        <f>'NSDUH OUD HUD estimates'!R6/1000000</f>
        <v>0.183638</v>
      </c>
      <c r="S20" s="476">
        <f>'NSDUH OUD HUD estimates'!S6/1000000</f>
        <v>0.27637499999999998</v>
      </c>
      <c r="T20" s="476">
        <f>'NSDUH OUD HUD estimates'!T6/1000000</f>
        <v>0.25883699999999998</v>
      </c>
      <c r="U20" s="476">
        <f>'NSDUH OUD HUD estimates'!U6/1000000</f>
        <v>0.25988699999999998</v>
      </c>
      <c r="V20" s="476">
        <f>'NSDUH OUD HUD estimates'!V6/1000000</f>
        <v>0.26771400000000001</v>
      </c>
      <c r="W20" s="477">
        <f>'NSDUH OUD HUD estimates'!W6/1000000</f>
        <v>0.37909453269999999</v>
      </c>
      <c r="X20" s="462"/>
      <c r="Y20" s="462"/>
      <c r="Z20" s="462"/>
      <c r="AA20" s="462"/>
      <c r="AB20" s="462"/>
      <c r="AC20" s="462"/>
      <c r="AD20" s="462"/>
      <c r="AE20" s="462"/>
      <c r="AF20" s="462"/>
      <c r="AG20" s="462"/>
      <c r="AH20" s="462"/>
      <c r="AI20" s="462"/>
      <c r="AJ20" s="462"/>
      <c r="AK20" s="462"/>
      <c r="AL20" s="462"/>
      <c r="AM20" s="462"/>
      <c r="AN20" s="462"/>
      <c r="AO20" s="462"/>
      <c r="AP20" s="462"/>
    </row>
    <row r="21" spans="1:42" ht="16.5" thickBot="1" x14ac:dyDescent="0.3">
      <c r="A21" s="475" t="s">
        <v>454</v>
      </c>
      <c r="B21" s="476">
        <f>'NSDUH OUD HUD estimates'!B3/1000000</f>
        <v>1.1928299999999999E-2</v>
      </c>
      <c r="C21" s="476">
        <f>'NSDUH OUD HUD estimates'!C3/1000000</f>
        <v>7.0482700000000006E-3</v>
      </c>
      <c r="D21" s="476">
        <f>'NSDUH OUD HUD estimates'!D3/1000000</f>
        <v>2.4035849999999997E-2</v>
      </c>
      <c r="E21" s="476">
        <f>'NSDUH OUD HUD estimates'!E3/1000000</f>
        <v>3.4953999999999999E-2</v>
      </c>
      <c r="F21" s="476">
        <f>'NSDUH OUD HUD estimates'!F3/1000000</f>
        <v>1.7866E-2</v>
      </c>
      <c r="G21" s="476">
        <f>'NSDUH OUD HUD estimates'!G3/1000000</f>
        <v>3.7914999999999997E-2</v>
      </c>
      <c r="H21" s="476">
        <f>'NSDUH OUD HUD estimates'!H3/1000000</f>
        <v>2.2963000000000001E-2</v>
      </c>
      <c r="I21" s="476">
        <f>'NSDUH OUD HUD estimates'!I3/1000000</f>
        <v>2.7983000000000001E-2</v>
      </c>
      <c r="J21" s="476">
        <f>'NSDUH OUD HUD estimates'!J3/1000000</f>
        <v>4.8397000000000003E-2</v>
      </c>
      <c r="K21" s="476">
        <f>'NSDUH OUD HUD estimates'!K3/1000000</f>
        <v>5.0393E-2</v>
      </c>
      <c r="L21" s="476">
        <f>'NSDUH OUD HUD estimates'!L3/1000000</f>
        <v>7.2146000000000002E-2</v>
      </c>
      <c r="M21" s="476">
        <f>'NSDUH OUD HUD estimates'!M3/1000000</f>
        <v>0.10506799999999999</v>
      </c>
      <c r="N21" s="476">
        <f>'NSDUH OUD HUD estimates'!N3/1000000</f>
        <v>4.7419999999999997E-2</v>
      </c>
      <c r="O21" s="476">
        <f>'NSDUH OUD HUD estimates'!O3/1000000</f>
        <v>5.2733000000000002E-2</v>
      </c>
      <c r="P21" s="476">
        <f>'NSDUH OUD HUD estimates'!P3/1000000</f>
        <v>5.0313999999999998E-2</v>
      </c>
      <c r="Q21" s="476">
        <f>'NSDUH OUD HUD estimates'!Q3/1000000</f>
        <v>0.109871</v>
      </c>
      <c r="R21" s="476">
        <f>'NSDUH OUD HUD estimates'!R3/1000000</f>
        <v>8.5042000000000006E-2</v>
      </c>
      <c r="S21" s="476">
        <f>'NSDUH OUD HUD estimates'!S3/1000000</f>
        <v>5.3201999999999999E-2</v>
      </c>
      <c r="T21" s="476">
        <f>'NSDUH OUD HUD estimates'!T3/1000000</f>
        <v>3.6606E-2</v>
      </c>
      <c r="U21" s="476">
        <f>'NSDUH OUD HUD estimates'!U3/1000000</f>
        <v>3.8649000000000003E-2</v>
      </c>
      <c r="V21" s="476">
        <f>'NSDUH OUD HUD estimates'!V3/1000000</f>
        <v>2.3310000000000001E-2</v>
      </c>
      <c r="W21" s="477">
        <f>'NSDUH OUD HUD estimates'!W3/1000000</f>
        <v>2.3299906780000001E-2</v>
      </c>
      <c r="X21" s="462"/>
      <c r="Y21" s="462"/>
      <c r="Z21" s="462"/>
      <c r="AA21" s="462"/>
      <c r="AB21" s="462"/>
      <c r="AC21" s="462"/>
      <c r="AD21" s="462"/>
      <c r="AE21" s="462"/>
      <c r="AF21" s="462"/>
      <c r="AG21" s="462"/>
      <c r="AH21" s="462"/>
      <c r="AI21" s="462"/>
      <c r="AJ21" s="462"/>
      <c r="AK21" s="462"/>
      <c r="AL21" s="462"/>
      <c r="AM21" s="462"/>
      <c r="AN21" s="462"/>
      <c r="AO21" s="462"/>
      <c r="AP21" s="462"/>
    </row>
    <row r="22" spans="1:42" ht="65.650000000000006" customHeight="1" thickBot="1" x14ac:dyDescent="0.45">
      <c r="A22" s="478" t="s">
        <v>455</v>
      </c>
      <c r="B22" s="479">
        <f t="shared" ref="B22:D22" si="21">SUM(B20,B21)</f>
        <v>0.1266361</v>
      </c>
      <c r="C22" s="479">
        <f t="shared" si="21"/>
        <v>0.12622548</v>
      </c>
      <c r="D22" s="479">
        <f t="shared" si="21"/>
        <v>0.22884641999999999</v>
      </c>
      <c r="E22" s="479">
        <f t="shared" ref="E22:V22" si="22">SUM(E20,E21)</f>
        <v>0.17991499999999999</v>
      </c>
      <c r="F22" s="479">
        <f t="shared" si="22"/>
        <v>0.130333</v>
      </c>
      <c r="G22" s="479">
        <f t="shared" si="22"/>
        <v>0.16565199999999999</v>
      </c>
      <c r="H22" s="479">
        <f t="shared" si="22"/>
        <v>0.166936</v>
      </c>
      <c r="I22" s="479">
        <f t="shared" si="22"/>
        <v>0.226165</v>
      </c>
      <c r="J22" s="479">
        <f t="shared" si="22"/>
        <v>0.151559</v>
      </c>
      <c r="K22" s="479">
        <f t="shared" si="22"/>
        <v>0.190889</v>
      </c>
      <c r="L22" s="479">
        <f t="shared" si="22"/>
        <v>0.28711199999999998</v>
      </c>
      <c r="M22" s="479">
        <f t="shared" si="22"/>
        <v>0.25122900000000004</v>
      </c>
      <c r="N22" s="479">
        <f t="shared" si="22"/>
        <v>0.18224599999999999</v>
      </c>
      <c r="O22" s="479">
        <f t="shared" si="22"/>
        <v>0.18604699999999999</v>
      </c>
      <c r="P22" s="479">
        <f t="shared" si="22"/>
        <v>0.20913000000000001</v>
      </c>
      <c r="Q22" s="479">
        <f t="shared" si="22"/>
        <v>0.39026899999999998</v>
      </c>
      <c r="R22" s="479">
        <f t="shared" si="22"/>
        <v>0.26868000000000003</v>
      </c>
      <c r="S22" s="479">
        <f t="shared" si="22"/>
        <v>0.32957700000000001</v>
      </c>
      <c r="T22" s="479">
        <f t="shared" si="22"/>
        <v>0.29544300000000001</v>
      </c>
      <c r="U22" s="479">
        <f t="shared" si="22"/>
        <v>0.29853599999999997</v>
      </c>
      <c r="V22" s="479">
        <f t="shared" si="22"/>
        <v>0.291024</v>
      </c>
      <c r="W22" s="480">
        <f t="shared" ref="W22" si="23">SUM(W20,W21)</f>
        <v>0.40239443947999998</v>
      </c>
      <c r="X22" s="462"/>
      <c r="Y22" s="481" t="s">
        <v>456</v>
      </c>
      <c r="Z22" s="310">
        <f>AVERAGE(E24:S24)</f>
        <v>3.1112049297726161</v>
      </c>
      <c r="AA22" s="462"/>
      <c r="AB22" s="462"/>
      <c r="AC22" s="462"/>
      <c r="AD22" s="462"/>
      <c r="AE22" s="462"/>
      <c r="AF22" s="462"/>
      <c r="AG22" s="462"/>
      <c r="AH22" s="462"/>
      <c r="AI22" s="462"/>
      <c r="AJ22" s="462"/>
      <c r="AK22" s="462"/>
      <c r="AL22" s="462"/>
      <c r="AM22" s="462"/>
      <c r="AN22" s="462"/>
      <c r="AO22" s="462"/>
      <c r="AP22" s="462"/>
    </row>
    <row r="23" spans="1:42" ht="16.5" thickBot="1" x14ac:dyDescent="0.3">
      <c r="A23" s="482"/>
      <c r="B23" s="462"/>
      <c r="C23" s="462"/>
      <c r="D23" s="462"/>
      <c r="E23" s="462"/>
      <c r="F23" s="462"/>
      <c r="G23" s="462"/>
      <c r="H23" s="462"/>
      <c r="I23" s="462"/>
      <c r="J23" s="462"/>
      <c r="K23" s="462"/>
      <c r="L23" s="462"/>
      <c r="M23" s="462"/>
      <c r="N23" s="462"/>
      <c r="O23" s="462"/>
      <c r="P23" s="462"/>
      <c r="Q23" s="462"/>
      <c r="R23" s="462"/>
      <c r="S23" s="462"/>
      <c r="T23" s="462"/>
      <c r="U23" s="462"/>
      <c r="V23" s="462"/>
      <c r="W23" s="470"/>
      <c r="X23" s="470"/>
      <c r="Y23" s="311"/>
      <c r="Z23" s="462"/>
      <c r="AA23" s="462"/>
      <c r="AB23" s="462"/>
      <c r="AC23" s="462"/>
      <c r="AD23" s="462"/>
      <c r="AE23" s="462"/>
      <c r="AF23" s="462"/>
      <c r="AG23" s="462"/>
      <c r="AH23" s="462"/>
      <c r="AI23" s="462"/>
      <c r="AJ23" s="462"/>
      <c r="AK23" s="462"/>
      <c r="AL23" s="462"/>
      <c r="AM23" s="462"/>
      <c r="AN23" s="462"/>
      <c r="AO23" s="462"/>
      <c r="AP23" s="462"/>
    </row>
    <row r="24" spans="1:42" ht="33.75" thickBot="1" x14ac:dyDescent="0.4">
      <c r="A24" s="300" t="s">
        <v>457</v>
      </c>
      <c r="B24" s="483"/>
      <c r="C24" s="484"/>
      <c r="D24" s="483"/>
      <c r="E24" s="301">
        <f t="shared" ref="E24:S24" si="24">E14/SUM(E19:E21)</f>
        <v>3.5236164520001223</v>
      </c>
      <c r="F24" s="301">
        <f t="shared" si="24"/>
        <v>4.3269813247486031</v>
      </c>
      <c r="G24" s="301">
        <f t="shared" si="24"/>
        <v>3.5607621811448746</v>
      </c>
      <c r="H24" s="301">
        <f t="shared" si="24"/>
        <v>3.9882148251915592</v>
      </c>
      <c r="I24" s="301">
        <f t="shared" si="24"/>
        <v>2.9298824201561264</v>
      </c>
      <c r="J24" s="301">
        <f t="shared" si="24"/>
        <v>4.0017307485487468</v>
      </c>
      <c r="K24" s="301">
        <f t="shared" si="24"/>
        <v>3.2677477144988041</v>
      </c>
      <c r="L24" s="301">
        <f t="shared" si="24"/>
        <v>2.6747227438713654</v>
      </c>
      <c r="M24" s="301">
        <f t="shared" si="24"/>
        <v>2.7919990125140339</v>
      </c>
      <c r="N24" s="301">
        <f t="shared" si="24"/>
        <v>2.7394811134404708</v>
      </c>
      <c r="O24" s="301">
        <f t="shared" si="24"/>
        <v>2.9011449368493278</v>
      </c>
      <c r="P24" s="301">
        <f t="shared" si="24"/>
        <v>2.9529804969060822</v>
      </c>
      <c r="Q24" s="301">
        <f t="shared" si="24"/>
        <v>2.1724103880714924</v>
      </c>
      <c r="R24" s="301">
        <f t="shared" si="24"/>
        <v>2.4801391583535035</v>
      </c>
      <c r="S24" s="301">
        <f t="shared" si="24"/>
        <v>2.356260430294133</v>
      </c>
      <c r="T24" s="483"/>
      <c r="U24" s="483"/>
      <c r="V24" s="485"/>
      <c r="W24" s="462"/>
      <c r="X24" s="462"/>
      <c r="Y24" s="462"/>
      <c r="Z24" s="462"/>
      <c r="AA24" s="462"/>
      <c r="AB24" s="462"/>
      <c r="AC24" s="462"/>
      <c r="AD24" s="462"/>
      <c r="AE24" s="462"/>
      <c r="AF24" s="462"/>
      <c r="AG24" s="462"/>
      <c r="AH24" s="462"/>
      <c r="AI24" s="462"/>
      <c r="AJ24" s="462"/>
      <c r="AK24" s="462"/>
      <c r="AL24" s="462"/>
      <c r="AM24" s="462"/>
      <c r="AN24" s="462"/>
      <c r="AO24" s="462"/>
      <c r="AP24" s="462"/>
    </row>
    <row r="25" spans="1:42" ht="15.4" customHeight="1" thickBot="1" x14ac:dyDescent="0.4">
      <c r="A25" s="302"/>
      <c r="B25" s="462"/>
      <c r="C25" s="486"/>
      <c r="D25" s="462"/>
      <c r="E25" s="462"/>
      <c r="F25" s="303"/>
      <c r="G25" s="303"/>
      <c r="H25" s="303"/>
      <c r="I25" s="303"/>
      <c r="J25" s="303"/>
      <c r="K25" s="303"/>
      <c r="L25" s="303"/>
      <c r="M25" s="303"/>
      <c r="N25" s="303"/>
      <c r="O25" s="303"/>
      <c r="P25" s="303"/>
      <c r="Q25" s="303"/>
      <c r="R25" s="303"/>
      <c r="S25" s="303"/>
      <c r="T25" s="303"/>
      <c r="U25" s="462"/>
      <c r="V25" s="462"/>
      <c r="W25" s="462"/>
      <c r="X25" s="462"/>
      <c r="Y25" s="462"/>
      <c r="Z25" s="462"/>
      <c r="AA25" s="462"/>
      <c r="AB25" s="462"/>
      <c r="AC25" s="462"/>
      <c r="AD25" s="462"/>
      <c r="AE25" s="462"/>
      <c r="AF25" s="462"/>
      <c r="AG25" s="462"/>
      <c r="AH25" s="462"/>
      <c r="AI25" s="462"/>
      <c r="AJ25" s="462"/>
      <c r="AK25" s="462"/>
      <c r="AL25" s="462"/>
      <c r="AM25" s="462"/>
      <c r="AN25" s="462"/>
      <c r="AO25" s="462"/>
      <c r="AP25" s="462"/>
    </row>
    <row r="26" spans="1:42" ht="31.5" x14ac:dyDescent="0.25">
      <c r="A26" s="304" t="s">
        <v>458</v>
      </c>
      <c r="B26" s="312">
        <v>1999</v>
      </c>
      <c r="C26" s="308">
        <v>2000</v>
      </c>
      <c r="D26" s="312">
        <v>2001</v>
      </c>
      <c r="E26" s="308">
        <v>2002</v>
      </c>
      <c r="F26" s="312">
        <v>2003</v>
      </c>
      <c r="G26" s="312">
        <v>2004</v>
      </c>
      <c r="H26" s="312">
        <v>2005</v>
      </c>
      <c r="I26" s="312">
        <v>2006</v>
      </c>
      <c r="J26" s="312">
        <v>2007</v>
      </c>
      <c r="K26" s="312">
        <v>2008</v>
      </c>
      <c r="L26" s="312">
        <v>2009</v>
      </c>
      <c r="M26" s="312">
        <v>2010</v>
      </c>
      <c r="N26" s="312">
        <v>2011</v>
      </c>
      <c r="O26" s="312">
        <v>2012</v>
      </c>
      <c r="P26" s="312">
        <v>2013</v>
      </c>
      <c r="Q26" s="312">
        <v>2014</v>
      </c>
      <c r="R26" s="312">
        <v>2015</v>
      </c>
      <c r="S26" s="312">
        <v>2016</v>
      </c>
      <c r="T26" s="312">
        <v>2017</v>
      </c>
      <c r="U26" s="312">
        <v>2018</v>
      </c>
      <c r="V26" s="312">
        <v>2019</v>
      </c>
      <c r="W26" s="324">
        <v>2020</v>
      </c>
      <c r="X26" s="462"/>
      <c r="Y26" s="462"/>
      <c r="Z26" s="462"/>
      <c r="AA26" s="462"/>
      <c r="AB26" s="462"/>
      <c r="AC26" s="462"/>
      <c r="AD26" s="462"/>
      <c r="AE26" s="462"/>
      <c r="AF26" s="462"/>
      <c r="AG26" s="462"/>
      <c r="AH26" s="462"/>
      <c r="AI26" s="462"/>
      <c r="AJ26" s="462"/>
      <c r="AK26" s="462"/>
      <c r="AL26" s="462"/>
      <c r="AM26" s="462"/>
      <c r="AN26" s="462"/>
      <c r="AO26" s="462"/>
      <c r="AP26" s="462"/>
    </row>
    <row r="27" spans="1:42" x14ac:dyDescent="0.25">
      <c r="A27" s="487" t="s">
        <v>15</v>
      </c>
      <c r="B27" s="488">
        <f>'Initiation Data'!B6*'RAND Adjusted Estimates'!$Z$22</f>
        <v>90224.942963405862</v>
      </c>
      <c r="C27" s="488">
        <f>'Initiation Data'!C6*'RAND Adjusted Estimates'!$Z$22</f>
        <v>98900.418248348738</v>
      </c>
      <c r="D27" s="488">
        <f>'Initiation Data'!D6*'RAND Adjusted Estimates'!$Z$22</f>
        <v>133602.31938812023</v>
      </c>
      <c r="E27" s="488">
        <f>'Initiation Data'!E6*'RAND Adjusted Estimates'!$Z$22</f>
        <v>101503.06083383159</v>
      </c>
      <c r="F27" s="488">
        <f>'Initiation Data'!F6*'RAND Adjusted Estimates'!$Z$22</f>
        <v>79814.372621474424</v>
      </c>
      <c r="G27" s="488">
        <f>'Initiation Data'!G6*'RAND Adjusted Estimates'!$Z$22</f>
        <v>96611.100450833866</v>
      </c>
      <c r="H27" s="488">
        <f>'Initiation Data'!H6*'RAND Adjusted Estimates'!$Z$22</f>
        <v>88423.719056695409</v>
      </c>
      <c r="I27" s="488">
        <f>'Initiation Data'!I6*'RAND Adjusted Estimates'!$Z$22</f>
        <v>94288.557565557843</v>
      </c>
      <c r="J27" s="488">
        <f>'Initiation Data'!J6*'RAND Adjusted Estimates'!$Z$22</f>
        <v>111050.9677994348</v>
      </c>
      <c r="K27" s="488">
        <f>'Initiation Data'!K6*'RAND Adjusted Estimates'!$Z$22</f>
        <v>108269.93155608705</v>
      </c>
      <c r="L27" s="488">
        <f>'Initiation Data'!L6*'RAND Adjusted Estimates'!$Z$22</f>
        <v>174538.59656024375</v>
      </c>
      <c r="M27" s="488">
        <f>'Initiation Data'!M6*'RAND Adjusted Estimates'!$Z$22</f>
        <v>190897.38890086298</v>
      </c>
      <c r="N27" s="488">
        <f>'Initiation Data'!N6*'RAND Adjusted Estimates'!$Z$22</f>
        <v>239293.91003065923</v>
      </c>
      <c r="O27" s="488">
        <f>'Initiation Data'!O6*'RAND Adjusted Estimates'!$Z$22</f>
        <v>232252.40236486623</v>
      </c>
      <c r="P27" s="488">
        <f>'Initiation Data'!P6*'RAND Adjusted Estimates'!$Z$22</f>
        <v>251606.76922860506</v>
      </c>
      <c r="Q27" s="488">
        <f>'Initiation Data'!Q6*'RAND Adjusted Estimates'!$Z$22</f>
        <v>252320.80786155901</v>
      </c>
      <c r="R27" s="488">
        <f>'Initiation Data'!R6*'RAND Adjusted Estimates'!$Z$22</f>
        <v>160675.98613825691</v>
      </c>
      <c r="S27" s="488">
        <f>'Initiation Data'!S6*'RAND Adjusted Estimates'!$Z$22</f>
        <v>202332.72328521241</v>
      </c>
      <c r="T27" s="488">
        <f>'Initiation Data'!T6*'RAND Adjusted Estimates'!$Z$22</f>
        <v>88100.217645512384</v>
      </c>
      <c r="U27" s="488">
        <f>'Initiation Data'!U6*'RAND Adjusted Estimates'!$Z$22</f>
        <v>135611.93252714758</v>
      </c>
      <c r="V27" s="488">
        <f>'Initiation Data'!V6*'RAND Adjusted Estimates'!$Z$22</f>
        <v>56912.285300718584</v>
      </c>
      <c r="W27" s="489">
        <f>'Initiation Data'!W6*'RAND Adjusted Estimates'!$Z$22</f>
        <v>0</v>
      </c>
      <c r="X27" s="462"/>
      <c r="Y27" s="462"/>
      <c r="Z27" s="462"/>
      <c r="AA27" s="462"/>
      <c r="AB27" s="462"/>
      <c r="AC27" s="462"/>
      <c r="AD27" s="462"/>
      <c r="AE27" s="462"/>
      <c r="AF27" s="462"/>
      <c r="AG27" s="462"/>
      <c r="AH27" s="462"/>
      <c r="AI27" s="462"/>
      <c r="AJ27" s="462"/>
      <c r="AK27" s="462"/>
      <c r="AL27" s="462"/>
      <c r="AM27" s="462"/>
      <c r="AN27" s="462"/>
      <c r="AO27" s="462"/>
      <c r="AP27" s="462"/>
    </row>
    <row r="28" spans="1:42" x14ac:dyDescent="0.25">
      <c r="A28" s="487" t="s">
        <v>459</v>
      </c>
      <c r="B28" s="490">
        <f>'Initiation Data'!B7*$Z$22</f>
        <v>124448.19719090464</v>
      </c>
      <c r="C28" s="490">
        <f>'Initiation Data'!C7*$Z$22</f>
        <v>136414.36999772242</v>
      </c>
      <c r="D28" s="490">
        <f>'Initiation Data'!D7*$Z$22</f>
        <v>184279.06122499343</v>
      </c>
      <c r="E28" s="490">
        <f>'Initiation Data'!E7*$Z$22</f>
        <v>140004.22183976774</v>
      </c>
      <c r="F28" s="490">
        <f>'Initiation Data'!F7*$Z$22</f>
        <v>110088.78982272335</v>
      </c>
      <c r="G28" s="490">
        <f>'Initiation Data'!G7*$Z$22</f>
        <v>135255.54063116742</v>
      </c>
      <c r="H28" s="490">
        <f>'Initiation Data'!H7*$Z$22</f>
        <v>123793.20667937357</v>
      </c>
      <c r="I28" s="490">
        <f>'Initiation Data'!I7*$Z$22</f>
        <v>117146.3897026628</v>
      </c>
      <c r="J28" s="490">
        <f>'Initiation Data'!J7*$Z$22</f>
        <v>137972.41453869175</v>
      </c>
      <c r="K28" s="490">
        <f>'Initiation Data'!K7*$Z$22</f>
        <v>156389.90113657017</v>
      </c>
      <c r="L28" s="490">
        <f>'Initiation Data'!L7*$Z$22</f>
        <v>252111.30614257435</v>
      </c>
      <c r="M28" s="490">
        <f>'Initiation Data'!M7*$Z$22</f>
        <v>158172.12223214359</v>
      </c>
      <c r="N28" s="490">
        <f>'Initiation Data'!N7*$Z$22</f>
        <v>198272.0968825462</v>
      </c>
      <c r="O28" s="490">
        <f>'Initiation Data'!O7*$Z$22</f>
        <v>178655.69412682016</v>
      </c>
      <c r="P28" s="490">
        <f>'Initiation Data'!P7*$Z$22</f>
        <v>193543.6686373885</v>
      </c>
      <c r="Q28" s="490">
        <f>'Initiation Data'!Q7*$Z$22</f>
        <v>243467.4461822061</v>
      </c>
      <c r="R28" s="490">
        <f>'Initiation Data'!R7*$Z$22</f>
        <v>155038.23223866898</v>
      </c>
      <c r="S28" s="490">
        <f>'Initiation Data'!S7*$Z$22</f>
        <v>195233.32948573129</v>
      </c>
      <c r="T28" s="490">
        <f>'Initiation Data'!T7*$Z$22</f>
        <v>114735.16716624868</v>
      </c>
      <c r="U28" s="490">
        <f>'Initiation Data'!U7*$Z$22</f>
        <v>124905.72732763592</v>
      </c>
      <c r="V28" s="490">
        <f>'Initiation Data'!V7*$Z$22</f>
        <v>32250.295003740532</v>
      </c>
      <c r="W28" s="491">
        <f>'Initiation Data'!W7*$Z$22</f>
        <v>0</v>
      </c>
      <c r="X28" s="462"/>
      <c r="Y28" s="462"/>
      <c r="Z28" s="462"/>
      <c r="AA28" s="462"/>
      <c r="AB28" s="462"/>
      <c r="AC28" s="462"/>
      <c r="AD28" s="462"/>
      <c r="AE28" s="462"/>
      <c r="AF28" s="462"/>
      <c r="AG28" s="462"/>
      <c r="AH28" s="462"/>
      <c r="AI28" s="462"/>
      <c r="AJ28" s="462"/>
      <c r="AK28" s="462"/>
      <c r="AL28" s="462"/>
      <c r="AM28" s="462"/>
      <c r="AN28" s="462"/>
      <c r="AO28" s="462"/>
      <c r="AP28" s="462"/>
    </row>
    <row r="29" spans="1:42" x14ac:dyDescent="0.25">
      <c r="A29" s="487" t="s">
        <v>445</v>
      </c>
      <c r="B29" s="488">
        <f>'Initiation Data'!B8*$Z$22</f>
        <v>108892.17254204156</v>
      </c>
      <c r="C29" s="488">
        <f>'Initiation Data'!C8*$Z$22</f>
        <v>119362.5737480071</v>
      </c>
      <c r="D29" s="488">
        <f>'Initiation Data'!D8*$Z$22</f>
        <v>161244.17857186924</v>
      </c>
      <c r="E29" s="488">
        <f>'Initiation Data'!E8*$Z$22</f>
        <v>122503.69410979676</v>
      </c>
      <c r="F29" s="488">
        <f>'Initiation Data'!F8*$Z$22</f>
        <v>96327.691094882932</v>
      </c>
      <c r="G29" s="488">
        <f>'Initiation Data'!G8*$Z$22</f>
        <v>135255.54063116742</v>
      </c>
      <c r="H29" s="488">
        <f>'Initiation Data'!H8*$Z$22</f>
        <v>123793.20667937357</v>
      </c>
      <c r="I29" s="488">
        <f>'Initiation Data'!I8*$Z$22</f>
        <v>68573.496411314802</v>
      </c>
      <c r="J29" s="488">
        <f>'Initiation Data'!J8*$Z$22</f>
        <v>80764.340217770761</v>
      </c>
      <c r="K29" s="488">
        <f>'Initiation Data'!K8*$Z$22</f>
        <v>96239.939160966256</v>
      </c>
      <c r="L29" s="488">
        <f>'Initiation Data'!L8*$Z$22</f>
        <v>155145.41916466111</v>
      </c>
      <c r="M29" s="488">
        <f>'Initiation Data'!M8*$Z$22</f>
        <v>92721.588894704881</v>
      </c>
      <c r="N29" s="488">
        <f>'Initiation Data'!N8*$Z$22</f>
        <v>116228.47058632018</v>
      </c>
      <c r="O29" s="488">
        <f>'Initiation Data'!O8*$Z$22</f>
        <v>74439.872552841727</v>
      </c>
      <c r="P29" s="488">
        <f>'Initiation Data'!P8*$Z$22</f>
        <v>80643.195265578557</v>
      </c>
      <c r="Q29" s="488">
        <f>'Initiation Data'!Q8*$Z$22</f>
        <v>163787.19106802953</v>
      </c>
      <c r="R29" s="488">
        <f>'Initiation Data'!R8*$Z$22</f>
        <v>104298.44714237729</v>
      </c>
      <c r="S29" s="488">
        <f>'Initiation Data'!S8*$Z$22</f>
        <v>131338.78529040102</v>
      </c>
      <c r="T29" s="488">
        <f>'Initiation Data'!T8*$Z$22</f>
        <v>49172.214499820861</v>
      </c>
      <c r="U29" s="488">
        <f>'Initiation Data'!U8*$Z$22</f>
        <v>103493.31692861259</v>
      </c>
      <c r="V29" s="488">
        <f>'Initiation Data'!V8*$Z$22</f>
        <v>66397.666184171685</v>
      </c>
      <c r="W29" s="489">
        <f>'Initiation Data'!W8*$Z$22</f>
        <v>0</v>
      </c>
      <c r="X29" s="462"/>
      <c r="Y29" s="462"/>
      <c r="Z29" s="462"/>
      <c r="AA29" s="462"/>
      <c r="AB29" s="462"/>
      <c r="AC29" s="462"/>
      <c r="AD29" s="462"/>
      <c r="AE29" s="462"/>
      <c r="AF29" s="462"/>
      <c r="AG29" s="462"/>
      <c r="AH29" s="462"/>
      <c r="AI29" s="462"/>
      <c r="AJ29" s="462"/>
      <c r="AK29" s="462"/>
      <c r="AL29" s="462"/>
      <c r="AM29" s="462"/>
      <c r="AN29" s="462"/>
      <c r="AO29" s="462"/>
      <c r="AP29" s="462"/>
    </row>
    <row r="30" spans="1:42" ht="16.5" thickBot="1" x14ac:dyDescent="0.3">
      <c r="A30" s="492" t="s">
        <v>17</v>
      </c>
      <c r="B30" s="493">
        <f>'Initiation Data'!B5*$Z$22</f>
        <v>323565.31269635208</v>
      </c>
      <c r="C30" s="493">
        <f>'Initiation Data'!C5*$Z$22</f>
        <v>354677.36199407821</v>
      </c>
      <c r="D30" s="493">
        <f>'Initiation Data'!D5*$Z$22</f>
        <v>479125.55918498285</v>
      </c>
      <c r="E30" s="493">
        <f>'Initiation Data'!E5*$Z$22</f>
        <v>364010.97678339609</v>
      </c>
      <c r="F30" s="493">
        <f>'Initiation Data'!F5*$Z$22</f>
        <v>286230.85353908071</v>
      </c>
      <c r="G30" s="493">
        <f>'Initiation Data'!G5*$Z$22</f>
        <v>367122.18171316868</v>
      </c>
      <c r="H30" s="493">
        <f>'Initiation Data'!H5*$Z$22</f>
        <v>336010.13241544255</v>
      </c>
      <c r="I30" s="493">
        <f>'Initiation Data'!I5*$Z$22</f>
        <v>280008.44367953547</v>
      </c>
      <c r="J30" s="493">
        <f>'Initiation Data'!J5*$Z$22</f>
        <v>329787.72255589732</v>
      </c>
      <c r="K30" s="493">
        <f>'Initiation Data'!K5*$Z$22</f>
        <v>360899.77185362345</v>
      </c>
      <c r="L30" s="493">
        <f>'Initiation Data'!L5*$Z$22</f>
        <v>581795.32186747924</v>
      </c>
      <c r="M30" s="493">
        <f>'Initiation Data'!M5*$Z$22</f>
        <v>441791.10002771148</v>
      </c>
      <c r="N30" s="493">
        <f>'Initiation Data'!N5*$Z$22</f>
        <v>553794.47749952564</v>
      </c>
      <c r="O30" s="493">
        <f>'Initiation Data'!O5*$Z$22</f>
        <v>485347.96904452809</v>
      </c>
      <c r="P30" s="493">
        <f>'Initiation Data'!P5*$Z$22</f>
        <v>525793.63313157216</v>
      </c>
      <c r="Q30" s="493">
        <f>'Initiation Data'!Q5*$Z$22</f>
        <v>659575.44511179463</v>
      </c>
      <c r="R30" s="493">
        <f>'Initiation Data'!R5*$Z$22</f>
        <v>420012.66551930318</v>
      </c>
      <c r="S30" s="493">
        <f>'Initiation Data'!S5*$Z$22</f>
        <v>528904.83806134469</v>
      </c>
      <c r="T30" s="493">
        <f>'Initiation Data'!T5*$Z$22</f>
        <v>252007.5993115819</v>
      </c>
      <c r="U30" s="493">
        <f>'Initiation Data'!U5*$Z$22</f>
        <v>364010.97678339609</v>
      </c>
      <c r="V30" s="493">
        <f>'Initiation Data'!V5*$Z$22</f>
        <v>155560.2464886308</v>
      </c>
      <c r="W30" s="494">
        <f>'Initiation Data'!W5*$Z$22</f>
        <v>320454.10776657943</v>
      </c>
      <c r="X30" s="462"/>
      <c r="Y30" s="462"/>
      <c r="Z30" s="462"/>
      <c r="AA30" s="462"/>
      <c r="AB30" s="462"/>
      <c r="AC30" s="462"/>
      <c r="AD30" s="462"/>
      <c r="AE30" s="462"/>
      <c r="AF30" s="462"/>
      <c r="AG30" s="462"/>
      <c r="AH30" s="462"/>
      <c r="AI30" s="462"/>
      <c r="AJ30" s="462"/>
      <c r="AK30" s="462"/>
      <c r="AL30" s="462"/>
      <c r="AM30" s="462"/>
      <c r="AN30" s="462"/>
      <c r="AO30" s="462"/>
      <c r="AP30" s="462"/>
    </row>
    <row r="31" spans="1:42" ht="15.4" customHeight="1" thickBot="1" x14ac:dyDescent="0.3">
      <c r="A31" s="495"/>
      <c r="B31" s="462"/>
      <c r="C31" s="495"/>
      <c r="D31" s="462"/>
      <c r="E31" s="462"/>
      <c r="F31" s="496"/>
      <c r="G31" s="496"/>
      <c r="H31" s="496"/>
      <c r="I31" s="496"/>
      <c r="J31" s="496"/>
      <c r="K31" s="496"/>
      <c r="L31" s="496"/>
      <c r="M31" s="496"/>
      <c r="N31" s="496"/>
      <c r="O31" s="496"/>
      <c r="P31" s="496"/>
      <c r="Q31" s="496"/>
      <c r="R31" s="496"/>
      <c r="S31" s="496"/>
      <c r="T31" s="496"/>
      <c r="U31" s="496"/>
      <c r="V31" s="496"/>
      <c r="W31" s="462"/>
      <c r="X31" s="462"/>
      <c r="Y31" s="462"/>
      <c r="Z31" s="462"/>
      <c r="AA31" s="462"/>
      <c r="AB31" s="462"/>
      <c r="AC31" s="462"/>
      <c r="AD31" s="462"/>
      <c r="AE31" s="462"/>
      <c r="AF31" s="462"/>
      <c r="AG31" s="462"/>
      <c r="AH31" s="462"/>
      <c r="AI31" s="462"/>
      <c r="AJ31" s="462"/>
      <c r="AK31" s="462"/>
      <c r="AL31" s="462"/>
      <c r="AM31" s="462"/>
      <c r="AN31" s="462"/>
      <c r="AO31" s="462"/>
      <c r="AP31" s="462"/>
    </row>
    <row r="32" spans="1:42" ht="31.5" x14ac:dyDescent="0.25">
      <c r="A32" s="304" t="s">
        <v>460</v>
      </c>
      <c r="B32" s="312">
        <v>1999</v>
      </c>
      <c r="C32" s="308">
        <v>2000</v>
      </c>
      <c r="D32" s="312">
        <v>2001</v>
      </c>
      <c r="E32" s="308">
        <v>2002</v>
      </c>
      <c r="F32" s="312">
        <v>2003</v>
      </c>
      <c r="G32" s="312">
        <v>2004</v>
      </c>
      <c r="H32" s="312">
        <v>2005</v>
      </c>
      <c r="I32" s="312">
        <v>2006</v>
      </c>
      <c r="J32" s="312">
        <v>2007</v>
      </c>
      <c r="K32" s="312">
        <v>2008</v>
      </c>
      <c r="L32" s="312">
        <v>2009</v>
      </c>
      <c r="M32" s="312">
        <v>2010</v>
      </c>
      <c r="N32" s="312">
        <v>2011</v>
      </c>
      <c r="O32" s="312">
        <v>2012</v>
      </c>
      <c r="P32" s="312">
        <v>2013</v>
      </c>
      <c r="Q32" s="312">
        <v>2014</v>
      </c>
      <c r="R32" s="312">
        <v>2015</v>
      </c>
      <c r="S32" s="312">
        <v>2016</v>
      </c>
      <c r="T32" s="312">
        <v>2017</v>
      </c>
      <c r="U32" s="312">
        <v>2018</v>
      </c>
      <c r="V32" s="312">
        <v>2019</v>
      </c>
      <c r="W32" s="324">
        <v>2020</v>
      </c>
      <c r="X32" s="462"/>
      <c r="Y32" s="462"/>
      <c r="Z32" s="462"/>
      <c r="AA32" s="462"/>
      <c r="AB32" s="462"/>
      <c r="AC32" s="462"/>
      <c r="AD32" s="462"/>
      <c r="AE32" s="462"/>
      <c r="AF32" s="462"/>
      <c r="AG32" s="462"/>
      <c r="AH32" s="462"/>
      <c r="AI32" s="462"/>
      <c r="AJ32" s="462"/>
      <c r="AK32" s="462"/>
      <c r="AL32" s="462"/>
      <c r="AM32" s="462"/>
      <c r="AN32" s="462"/>
      <c r="AO32" s="462"/>
      <c r="AP32" s="462"/>
    </row>
    <row r="33" spans="1:23" x14ac:dyDescent="0.25">
      <c r="A33" s="475" t="s">
        <v>461</v>
      </c>
      <c r="B33" s="497">
        <f t="shared" ref="B33:V33" si="25">B19*$Z$22*$B$36</f>
        <v>737348.72370526451</v>
      </c>
      <c r="C33" s="497">
        <f t="shared" si="25"/>
        <v>670983.54912418628</v>
      </c>
      <c r="D33" s="497">
        <f t="shared" si="25"/>
        <v>732226.9959257741</v>
      </c>
      <c r="E33" s="497">
        <f t="shared" si="25"/>
        <v>764684.39245923271</v>
      </c>
      <c r="F33" s="497">
        <f t="shared" si="25"/>
        <v>673043.85125278018</v>
      </c>
      <c r="G33" s="497">
        <f t="shared" si="25"/>
        <v>882617.72652719344</v>
      </c>
      <c r="H33" s="497">
        <f t="shared" si="25"/>
        <v>728787.3099795162</v>
      </c>
      <c r="I33" s="497">
        <f t="shared" si="25"/>
        <v>995374.01559201255</v>
      </c>
      <c r="J33" s="497">
        <f t="shared" si="25"/>
        <v>772412.62550478789</v>
      </c>
      <c r="K33" s="497">
        <f t="shared" si="25"/>
        <v>1024666.0100058218</v>
      </c>
      <c r="L33" s="497">
        <f t="shared" si="25"/>
        <v>1316792.5968868218</v>
      </c>
      <c r="M33" s="497">
        <f t="shared" si="25"/>
        <v>1335599.830687297</v>
      </c>
      <c r="N33" s="497">
        <f t="shared" si="25"/>
        <v>1590808.859871615</v>
      </c>
      <c r="O33" s="497">
        <f t="shared" si="25"/>
        <v>1565981.4445320296</v>
      </c>
      <c r="P33" s="497">
        <f t="shared" si="25"/>
        <v>1667232.4977665495</v>
      </c>
      <c r="Q33" s="497">
        <f t="shared" si="25"/>
        <v>1936510.395643299</v>
      </c>
      <c r="R33" s="497">
        <f t="shared" si="25"/>
        <v>1923866.4588087033</v>
      </c>
      <c r="S33" s="497">
        <f t="shared" si="25"/>
        <v>2011537.1025247658</v>
      </c>
      <c r="T33" s="497">
        <f t="shared" si="25"/>
        <v>2193782.1536960565</v>
      </c>
      <c r="U33" s="497">
        <f t="shared" si="25"/>
        <v>1843790.2663262156</v>
      </c>
      <c r="V33" s="497">
        <f t="shared" si="25"/>
        <v>1420678.8406968592</v>
      </c>
      <c r="W33" s="498">
        <f>'NSDUH OUD HUD estimates'!W4*$Z$22</f>
        <v>1771002.3535780073</v>
      </c>
    </row>
    <row r="34" spans="1:23" x14ac:dyDescent="0.25">
      <c r="A34" s="475" t="s">
        <v>462</v>
      </c>
      <c r="B34" s="490">
        <f t="shared" ref="B34:W34" si="26">B20*$Z$22*$B$36</f>
        <v>356879.47284337127</v>
      </c>
      <c r="C34" s="490">
        <f t="shared" si="26"/>
        <v>370784.72326854634</v>
      </c>
      <c r="D34" s="490">
        <f t="shared" si="26"/>
        <v>637207.65505353943</v>
      </c>
      <c r="E34" s="490">
        <f t="shared" si="26"/>
        <v>451003.37782476825</v>
      </c>
      <c r="F34" s="490">
        <f t="shared" si="26"/>
        <v>349907.88483673678</v>
      </c>
      <c r="G34" s="490">
        <f t="shared" si="26"/>
        <v>397415.9841143646</v>
      </c>
      <c r="H34" s="490">
        <f t="shared" si="26"/>
        <v>447929.5073541528</v>
      </c>
      <c r="I34" s="490">
        <f t="shared" si="26"/>
        <v>616584.81539219653</v>
      </c>
      <c r="J34" s="490">
        <f t="shared" si="26"/>
        <v>320958.12296520267</v>
      </c>
      <c r="K34" s="490">
        <f t="shared" si="26"/>
        <v>437111.8478133335</v>
      </c>
      <c r="L34" s="490">
        <f t="shared" si="26"/>
        <v>668803.27893350006</v>
      </c>
      <c r="M34" s="490">
        <f t="shared" si="26"/>
        <v>454736.82374049543</v>
      </c>
      <c r="N34" s="490">
        <f t="shared" si="26"/>
        <v>419471.31586152274</v>
      </c>
      <c r="O34" s="490">
        <f t="shared" si="26"/>
        <v>414767.17400770652</v>
      </c>
      <c r="P34" s="490">
        <f t="shared" si="26"/>
        <v>494109.12212676782</v>
      </c>
      <c r="Q34" s="490">
        <f t="shared" si="26"/>
        <v>872375.63989838201</v>
      </c>
      <c r="R34" s="490">
        <f t="shared" si="26"/>
        <v>571335.45089358359</v>
      </c>
      <c r="S34" s="490">
        <f t="shared" si="26"/>
        <v>859859.26246590668</v>
      </c>
      <c r="T34" s="490">
        <f t="shared" si="26"/>
        <v>805294.95040755463</v>
      </c>
      <c r="U34" s="490">
        <f t="shared" si="26"/>
        <v>808561.71558381582</v>
      </c>
      <c r="V34" s="490">
        <f t="shared" si="26"/>
        <v>832913.11656914616</v>
      </c>
      <c r="W34" s="491">
        <f t="shared" si="26"/>
        <v>1179440.7789860861</v>
      </c>
    </row>
    <row r="35" spans="1:23" ht="16.5" thickBot="1" x14ac:dyDescent="0.3">
      <c r="A35" s="478" t="s">
        <v>463</v>
      </c>
      <c r="B35" s="499">
        <f t="shared" ref="B35:W35" si="27">B21*$Z$22*$B$36</f>
        <v>37111.385763806698</v>
      </c>
      <c r="C35" s="499">
        <f t="shared" si="27"/>
        <v>21928.612370368439</v>
      </c>
      <c r="D35" s="499">
        <f t="shared" si="27"/>
        <v>74780.455011275131</v>
      </c>
      <c r="E35" s="499">
        <f t="shared" si="27"/>
        <v>108749.05711527202</v>
      </c>
      <c r="F35" s="499">
        <f t="shared" si="27"/>
        <v>55584.787275317554</v>
      </c>
      <c r="G35" s="499">
        <f t="shared" si="27"/>
        <v>117961.33491232873</v>
      </c>
      <c r="H35" s="499">
        <f t="shared" si="27"/>
        <v>71442.598802368579</v>
      </c>
      <c r="I35" s="499">
        <f t="shared" si="27"/>
        <v>87060.847549827129</v>
      </c>
      <c r="J35" s="499">
        <f t="shared" si="27"/>
        <v>150572.98498620529</v>
      </c>
      <c r="K35" s="499">
        <f t="shared" si="27"/>
        <v>156782.95002603144</v>
      </c>
      <c r="L35" s="499">
        <f t="shared" si="27"/>
        <v>224460.99086337516</v>
      </c>
      <c r="M35" s="499">
        <f t="shared" si="27"/>
        <v>326888.07956134918</v>
      </c>
      <c r="N35" s="499">
        <f t="shared" si="27"/>
        <v>147533.33776981744</v>
      </c>
      <c r="O35" s="499">
        <f t="shared" si="27"/>
        <v>164063.16956169935</v>
      </c>
      <c r="P35" s="499">
        <f t="shared" si="27"/>
        <v>156537.16483657941</v>
      </c>
      <c r="Q35" s="499">
        <f t="shared" si="27"/>
        <v>341831.19683904713</v>
      </c>
      <c r="R35" s="499">
        <f t="shared" si="27"/>
        <v>264583.08963772282</v>
      </c>
      <c r="S35" s="499">
        <f t="shared" si="27"/>
        <v>165522.32467376272</v>
      </c>
      <c r="T35" s="499">
        <f t="shared" si="27"/>
        <v>113888.76765925638</v>
      </c>
      <c r="U35" s="499">
        <f t="shared" si="27"/>
        <v>120244.95933078184</v>
      </c>
      <c r="V35" s="499">
        <f t="shared" si="27"/>
        <v>72522.186912999678</v>
      </c>
      <c r="W35" s="500">
        <f t="shared" si="27"/>
        <v>72490.784837178406</v>
      </c>
    </row>
    <row r="36" spans="1:23" x14ac:dyDescent="0.25">
      <c r="A36" s="462"/>
      <c r="B36" s="501">
        <v>1000000</v>
      </c>
      <c r="C36" s="462"/>
      <c r="D36" s="462"/>
      <c r="E36" s="462"/>
      <c r="F36" s="462"/>
      <c r="G36" s="462"/>
      <c r="H36" s="462"/>
      <c r="I36" s="462"/>
      <c r="J36" s="462"/>
      <c r="K36" s="462"/>
      <c r="L36" s="462"/>
      <c r="M36" s="462"/>
      <c r="N36" s="462"/>
      <c r="O36" s="462"/>
      <c r="P36" s="462"/>
      <c r="Q36" s="462"/>
      <c r="R36" s="462"/>
      <c r="S36" s="462"/>
      <c r="T36" s="462"/>
      <c r="U36" s="462"/>
      <c r="V36" s="462"/>
      <c r="W36" s="462"/>
    </row>
    <row r="37" spans="1:23" ht="15.4" customHeight="1" x14ac:dyDescent="0.25">
      <c r="A37" s="462"/>
      <c r="B37" s="462"/>
      <c r="C37" s="462"/>
      <c r="D37" s="462"/>
      <c r="E37" s="462"/>
      <c r="F37" s="462"/>
      <c r="G37" s="462"/>
      <c r="H37" s="462"/>
      <c r="I37" s="462"/>
      <c r="J37" s="462"/>
      <c r="K37" s="462"/>
      <c r="L37" s="462"/>
      <c r="M37" s="462"/>
      <c r="N37" s="462"/>
      <c r="O37" s="462"/>
      <c r="P37" s="462"/>
      <c r="Q37" s="462"/>
      <c r="R37" s="462"/>
      <c r="S37" s="462"/>
      <c r="T37" s="462"/>
      <c r="U37" s="462"/>
      <c r="V37" s="462"/>
      <c r="W37" s="462"/>
    </row>
  </sheetData>
  <mergeCells count="1">
    <mergeCell ref="A12:V12"/>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3A755-E133-4615-8D5C-39F8C254C051}">
  <dimension ref="A1:Y13"/>
  <sheetViews>
    <sheetView zoomScale="70" zoomScaleNormal="70" workbookViewId="0">
      <selection activeCell="N35" sqref="N35"/>
    </sheetView>
  </sheetViews>
  <sheetFormatPr defaultRowHeight="15" x14ac:dyDescent="0.25"/>
  <cols>
    <col min="1" max="23" width="11.7109375" customWidth="1"/>
    <col min="25" max="25" width="14.28515625" customWidth="1"/>
  </cols>
  <sheetData>
    <row r="1" spans="1:25" x14ac:dyDescent="0.25">
      <c r="A1" s="576" t="s">
        <v>483</v>
      </c>
      <c r="B1" s="576"/>
      <c r="C1" s="576"/>
      <c r="D1" s="576"/>
      <c r="E1" s="576"/>
      <c r="F1" s="576"/>
      <c r="G1" s="576"/>
      <c r="H1" s="576"/>
      <c r="I1" s="576"/>
      <c r="J1" s="576"/>
      <c r="K1" s="576"/>
      <c r="L1" s="576"/>
      <c r="M1" s="576"/>
      <c r="N1" s="576"/>
    </row>
    <row r="2" spans="1:25" x14ac:dyDescent="0.25">
      <c r="A2" s="576"/>
      <c r="B2" s="576"/>
      <c r="C2" s="576"/>
      <c r="D2" s="576"/>
      <c r="E2" s="576"/>
      <c r="F2" s="576"/>
      <c r="G2" s="576"/>
      <c r="H2" s="576"/>
      <c r="I2" s="576"/>
      <c r="J2" s="576"/>
      <c r="K2" s="576"/>
      <c r="L2" s="576"/>
      <c r="M2" s="576"/>
      <c r="N2" s="576"/>
    </row>
    <row r="3" spans="1:25" x14ac:dyDescent="0.25">
      <c r="A3" s="576"/>
      <c r="B3" s="576"/>
      <c r="C3" s="576"/>
      <c r="D3" s="576"/>
      <c r="E3" s="576"/>
      <c r="F3" s="576"/>
      <c r="G3" s="576"/>
      <c r="H3" s="576"/>
      <c r="I3" s="576"/>
      <c r="J3" s="576"/>
      <c r="K3" s="576"/>
      <c r="L3" s="576"/>
      <c r="M3" s="576"/>
      <c r="N3" s="576"/>
    </row>
    <row r="4" spans="1:25" ht="47.45" customHeight="1" x14ac:dyDescent="0.25">
      <c r="A4" s="576"/>
      <c r="B4" s="576"/>
      <c r="C4" s="576"/>
      <c r="D4" s="576"/>
      <c r="E4" s="576"/>
      <c r="F4" s="576"/>
      <c r="G4" s="576"/>
      <c r="H4" s="576"/>
      <c r="I4" s="576"/>
      <c r="J4" s="576"/>
      <c r="K4" s="576"/>
      <c r="L4" s="576"/>
      <c r="M4" s="576"/>
      <c r="N4" s="576"/>
    </row>
    <row r="5" spans="1:25" x14ac:dyDescent="0.25">
      <c r="B5">
        <v>1999</v>
      </c>
      <c r="C5">
        <v>2000</v>
      </c>
      <c r="D5">
        <v>2001</v>
      </c>
      <c r="E5">
        <v>2002</v>
      </c>
      <c r="F5">
        <v>2003</v>
      </c>
      <c r="G5">
        <v>2004</v>
      </c>
      <c r="H5">
        <v>2005</v>
      </c>
      <c r="I5">
        <v>2006</v>
      </c>
      <c r="J5">
        <v>2007</v>
      </c>
      <c r="K5">
        <v>2008</v>
      </c>
      <c r="L5">
        <v>2009</v>
      </c>
      <c r="M5">
        <v>2010</v>
      </c>
      <c r="N5">
        <v>2011</v>
      </c>
      <c r="O5">
        <v>2012</v>
      </c>
      <c r="P5">
        <v>2013</v>
      </c>
      <c r="Q5">
        <v>2014</v>
      </c>
      <c r="R5">
        <v>2015</v>
      </c>
      <c r="S5">
        <v>2016</v>
      </c>
      <c r="T5">
        <v>2017</v>
      </c>
      <c r="U5">
        <v>2018</v>
      </c>
      <c r="V5">
        <v>2019</v>
      </c>
      <c r="W5">
        <v>2020</v>
      </c>
      <c r="X5" t="s">
        <v>486</v>
      </c>
      <c r="Y5" t="s">
        <v>490</v>
      </c>
    </row>
    <row r="6" spans="1:25" x14ac:dyDescent="0.25">
      <c r="A6" t="s">
        <v>489</v>
      </c>
      <c r="B6">
        <f>(8.5+2.6+1+0.3+10.2+0.7+0.4)/100</f>
        <v>0.23699999999999999</v>
      </c>
      <c r="C6">
        <f>(11.6+2.6+5.7+5.2+1.8+1.2+0.8+0.3+3.1+11.7+0.1)/100</f>
        <v>0.441</v>
      </c>
      <c r="D6">
        <f>(8.3+0.6+2.9+5.3+0.5+2.6+0.8+0.1+0.7)/100</f>
        <v>0.21800000000000005</v>
      </c>
      <c r="E6">
        <f>(11.27+0.95+2.57+13.64+0.63+2.68)/100</f>
        <v>0.31739999999999996</v>
      </c>
      <c r="F6">
        <f>(1.11+7.31+0.23+8.89+1.04+0.67+13.84+0.99+0.25)/100</f>
        <v>0.34330000000000005</v>
      </c>
      <c r="G6">
        <f>(6.56+0.08+0.71+4.64+0.67+1.21)/100</f>
        <v>0.13869999999999996</v>
      </c>
      <c r="H6">
        <f>(6.33+4.44+2.24+0.03+0.85)/100</f>
        <v>0.1389</v>
      </c>
      <c r="I6">
        <f>(4.46+0.02+1.49+0.35+1.2+3.18+0.71+1.33+2.78+19.02)/100</f>
        <v>0.34539999999999998</v>
      </c>
      <c r="J6">
        <f>(7.35+4.2)/100</f>
        <v>0.11550000000000001</v>
      </c>
      <c r="K6">
        <f>(6.94+0.57+3.73+1.85+0.55+8.58+1.83+1.36)/100</f>
        <v>0.25409999999999999</v>
      </c>
      <c r="L6">
        <f>(1.47+2.28+3.92+1.15+0.85)/100</f>
        <v>9.6699999999999994E-2</v>
      </c>
      <c r="M6">
        <f>(3.64+0.87+0.24+0.37+4.09+0.72+0.28+4.25+3.48+1.91+0.61+0.68)/100</f>
        <v>0.2114</v>
      </c>
      <c r="N6">
        <f>(1+0.69+0.53+0.14+1.16+0.02+11.86+1.63)/100</f>
        <v>0.17029999999999998</v>
      </c>
      <c r="O6">
        <f>(3.34+1.19+0.03+1.71+0.11+7.52+5.43+8.54+2.24+1.12+7.61+1.5+0.79)/100</f>
        <v>0.4113</v>
      </c>
      <c r="P6">
        <f>(0.93+0.66+2.1+0.23+5.29+5.7+11.2+0.92+2.86+5.87+2.07+0.2)/100</f>
        <v>0.38030000000000003</v>
      </c>
      <c r="Q6">
        <f>(8.28+0.62+1.55+2.52+3.64+5.71+0.09+0.65+4.6+0.15+0.55+1.2+5.11+1.88+0.6)/100</f>
        <v>0.3715</v>
      </c>
      <c r="R6">
        <f>(0.78+3.3+0.12+4.12+0.38+0.92+0.82+0.34+4.69)/100</f>
        <v>0.15470000000000003</v>
      </c>
      <c r="S6">
        <f>(5.52+0.13+2.06+1.02+1.55+0.43+0.19+3.12+0.17+0.27+1.64)/100</f>
        <v>0.16099999999999998</v>
      </c>
      <c r="T6">
        <f>(0.29+3.66+0.4+2.56+3.14+0.29+1.02+2.4+7.78)/100</f>
        <v>0.21539999999999998</v>
      </c>
      <c r="U6">
        <f>(4.68+4.06+0.97+2.14+1.08+2.17+2.04+0.2+2.18+1.39+0.78+0.75+2.35+0.21+3.67+0.35)/100</f>
        <v>0.29020000000000001</v>
      </c>
      <c r="V6">
        <f>(13.41+0.48+1.85+4.08+0.56+3.21)/100</f>
        <v>0.2359</v>
      </c>
      <c r="W6">
        <f>(17.16+0.21+11.96+1.02+0.06+19.95+0.94+4.97)/100</f>
        <v>0.56269999999999998</v>
      </c>
      <c r="X6">
        <f>(27.7+0.33+19.3+1.79+0.1+1.52)/100</f>
        <v>0.50740000000000007</v>
      </c>
      <c r="Y6" s="238">
        <f>W6/X6</f>
        <v>1.1089869925108393</v>
      </c>
    </row>
    <row r="8" spans="1:25" ht="45" x14ac:dyDescent="0.25">
      <c r="A8" s="48" t="s">
        <v>484</v>
      </c>
      <c r="B8">
        <v>0.23699999999999999</v>
      </c>
      <c r="C8">
        <v>0.441</v>
      </c>
      <c r="D8">
        <v>0.21800000000000005</v>
      </c>
      <c r="E8">
        <v>0.31739999999999996</v>
      </c>
      <c r="F8">
        <v>0.34330000000000005</v>
      </c>
      <c r="G8">
        <v>0.13869999999999996</v>
      </c>
      <c r="H8">
        <v>0.1389</v>
      </c>
      <c r="I8">
        <v>0.34539999999999998</v>
      </c>
      <c r="J8">
        <v>0.11550000000000001</v>
      </c>
      <c r="K8">
        <v>0.25409999999999999</v>
      </c>
      <c r="L8">
        <v>9.6699999999999994E-2</v>
      </c>
      <c r="M8">
        <v>0.2114</v>
      </c>
      <c r="N8">
        <v>0.17029999999999998</v>
      </c>
      <c r="O8">
        <v>0.4113</v>
      </c>
      <c r="P8">
        <v>0.38030000000000003</v>
      </c>
      <c r="Q8">
        <v>0.3715</v>
      </c>
      <c r="R8">
        <v>0.15470000000000003</v>
      </c>
      <c r="S8">
        <v>0.16099999999999998</v>
      </c>
      <c r="T8">
        <v>0.21539999999999998</v>
      </c>
      <c r="U8">
        <v>0.29020000000000001</v>
      </c>
      <c r="V8">
        <v>0.2359</v>
      </c>
      <c r="W8">
        <v>0.50740000000000007</v>
      </c>
    </row>
    <row r="9" spans="1:25" ht="120" x14ac:dyDescent="0.25">
      <c r="A9" s="48" t="s">
        <v>487</v>
      </c>
      <c r="B9" s="456">
        <f t="shared" ref="B9:V9" si="0">B8/$Y$6</f>
        <v>0.21370854807179673</v>
      </c>
      <c r="C9" s="456">
        <f t="shared" si="0"/>
        <v>0.39766020970321675</v>
      </c>
      <c r="D9" s="456">
        <f t="shared" si="0"/>
        <v>0.19657579527279198</v>
      </c>
      <c r="E9" s="456">
        <f t="shared" si="0"/>
        <v>0.28620714412653281</v>
      </c>
      <c r="F9" s="456">
        <f t="shared" si="0"/>
        <v>0.30956179136307105</v>
      </c>
      <c r="G9" s="456">
        <f t="shared" si="0"/>
        <v>0.12506909543273503</v>
      </c>
      <c r="H9" s="456">
        <f t="shared" si="0"/>
        <v>0.12524944019904036</v>
      </c>
      <c r="I9" s="456">
        <f t="shared" si="0"/>
        <v>0.31145541140927674</v>
      </c>
      <c r="J9" s="456">
        <f t="shared" si="0"/>
        <v>0.10414910254131868</v>
      </c>
      <c r="K9" s="456">
        <f t="shared" si="0"/>
        <v>0.22912802559090106</v>
      </c>
      <c r="L9" s="456">
        <f t="shared" si="0"/>
        <v>8.7196694508619166E-2</v>
      </c>
      <c r="M9" s="456">
        <f t="shared" si="0"/>
        <v>0.1906244179847166</v>
      </c>
      <c r="N9" s="456">
        <f t="shared" si="0"/>
        <v>0.1535635685089746</v>
      </c>
      <c r="O9" s="456">
        <f t="shared" si="0"/>
        <v>0.37087901190687766</v>
      </c>
      <c r="P9" s="456">
        <f t="shared" si="0"/>
        <v>0.34292557312955402</v>
      </c>
      <c r="Q9" s="456">
        <f t="shared" si="0"/>
        <v>0.33499040341212022</v>
      </c>
      <c r="R9" s="456">
        <f t="shared" si="0"/>
        <v>0.13949667673716018</v>
      </c>
      <c r="S9" s="456">
        <f t="shared" si="0"/>
        <v>0.1451775368757775</v>
      </c>
      <c r="T9" s="456">
        <f t="shared" si="0"/>
        <v>0.19423131331082286</v>
      </c>
      <c r="U9" s="456">
        <f t="shared" si="0"/>
        <v>0.26168025590901023</v>
      </c>
      <c r="V9" s="456">
        <f t="shared" si="0"/>
        <v>0.21271665185711752</v>
      </c>
      <c r="W9">
        <v>0.50740000000000007</v>
      </c>
    </row>
    <row r="10" spans="1:25" ht="45" x14ac:dyDescent="0.25">
      <c r="A10" s="48" t="str">
        <f>'RAND Adjusted Estimates'!A2</f>
        <v>HUD NSDUH RAND</v>
      </c>
      <c r="B10" s="20">
        <f>'RAND Adjusted Estimates'!B2</f>
        <v>737348.72370526451</v>
      </c>
      <c r="C10" s="20">
        <f>'RAND Adjusted Estimates'!C2</f>
        <v>670983.54912418628</v>
      </c>
      <c r="D10" s="20">
        <f>'RAND Adjusted Estimates'!D2</f>
        <v>732226.9959257741</v>
      </c>
      <c r="E10" s="20">
        <f>'RAND Adjusted Estimates'!E2</f>
        <v>764684.39245923271</v>
      </c>
      <c r="F10" s="20">
        <f>'RAND Adjusted Estimates'!F2</f>
        <v>673043.85125278018</v>
      </c>
      <c r="G10" s="20">
        <f>'RAND Adjusted Estimates'!G2</f>
        <v>882617.72652719344</v>
      </c>
      <c r="H10" s="20">
        <f>'RAND Adjusted Estimates'!H2</f>
        <v>728787.3099795162</v>
      </c>
      <c r="I10" s="20">
        <f>'RAND Adjusted Estimates'!I2</f>
        <v>995374.01559201255</v>
      </c>
      <c r="J10" s="20">
        <f>'RAND Adjusted Estimates'!J2</f>
        <v>772412.62550478789</v>
      </c>
      <c r="K10" s="20">
        <f>'RAND Adjusted Estimates'!K2</f>
        <v>1024666.0100058218</v>
      </c>
      <c r="L10" s="20">
        <f>'RAND Adjusted Estimates'!L2</f>
        <v>1316792.5968868218</v>
      </c>
      <c r="M10" s="20">
        <f>'RAND Adjusted Estimates'!M2</f>
        <v>1335599.830687297</v>
      </c>
      <c r="N10" s="20">
        <f>'RAND Adjusted Estimates'!N2</f>
        <v>1590808.859871615</v>
      </c>
      <c r="O10" s="20">
        <f>'RAND Adjusted Estimates'!O2</f>
        <v>1565981.4445320296</v>
      </c>
      <c r="P10" s="20">
        <f>'RAND Adjusted Estimates'!P2</f>
        <v>1667232.4977665495</v>
      </c>
      <c r="Q10" s="20">
        <f>'RAND Adjusted Estimates'!Q2</f>
        <v>1936510.395643299</v>
      </c>
      <c r="R10" s="20">
        <f>'RAND Adjusted Estimates'!R2</f>
        <v>1923866.4588087033</v>
      </c>
      <c r="S10" s="20">
        <f>'RAND Adjusted Estimates'!S2</f>
        <v>2011537.1025247658</v>
      </c>
      <c r="T10" s="20">
        <f>'RAND Adjusted Estimates'!T2</f>
        <v>2193782.1536960565</v>
      </c>
      <c r="U10" s="20">
        <f>'RAND Adjusted Estimates'!U2</f>
        <v>1843790.2663262156</v>
      </c>
      <c r="V10" s="20">
        <f>'RAND Adjusted Estimates'!V2</f>
        <v>1420678.8406968592</v>
      </c>
      <c r="W10" s="20">
        <f>'RAND Adjusted Estimates'!W2</f>
        <v>1771002.3535780073</v>
      </c>
    </row>
    <row r="11" spans="1:25" ht="60" x14ac:dyDescent="0.25">
      <c r="A11" s="48" t="str">
        <f>'RAND Adjusted Estimates'!A3</f>
        <v>Nondisordered heroin use NSDUH RAND</v>
      </c>
      <c r="B11" s="20">
        <f>'RAND Adjusted Estimates'!B3</f>
        <v>356879.47284337127</v>
      </c>
      <c r="C11" s="20">
        <f>'RAND Adjusted Estimates'!C3</f>
        <v>370784.72326854634</v>
      </c>
      <c r="D11" s="20">
        <f>'RAND Adjusted Estimates'!D3</f>
        <v>637207.65505353943</v>
      </c>
      <c r="E11" s="20">
        <f>'RAND Adjusted Estimates'!E3</f>
        <v>451003.37782476825</v>
      </c>
      <c r="F11" s="20">
        <f>'RAND Adjusted Estimates'!F3</f>
        <v>349907.88483673678</v>
      </c>
      <c r="G11" s="20">
        <f>'RAND Adjusted Estimates'!G3</f>
        <v>397415.9841143646</v>
      </c>
      <c r="H11" s="20">
        <f>'RAND Adjusted Estimates'!H3</f>
        <v>447929.5073541528</v>
      </c>
      <c r="I11" s="20">
        <f>'RAND Adjusted Estimates'!I3</f>
        <v>616584.81539219653</v>
      </c>
      <c r="J11" s="20">
        <f>'RAND Adjusted Estimates'!J3</f>
        <v>320958.12296520267</v>
      </c>
      <c r="K11" s="20">
        <f>'RAND Adjusted Estimates'!K3</f>
        <v>437111.8478133335</v>
      </c>
      <c r="L11" s="20">
        <f>'RAND Adjusted Estimates'!L3</f>
        <v>668803.27893350006</v>
      </c>
      <c r="M11" s="20">
        <f>'RAND Adjusted Estimates'!M3</f>
        <v>454736.82374049543</v>
      </c>
      <c r="N11" s="20">
        <f>'RAND Adjusted Estimates'!N3</f>
        <v>419471.31586152274</v>
      </c>
      <c r="O11" s="20">
        <f>'RAND Adjusted Estimates'!O3</f>
        <v>414767.17400770652</v>
      </c>
      <c r="P11" s="20">
        <f>'RAND Adjusted Estimates'!P3</f>
        <v>494109.12212676782</v>
      </c>
      <c r="Q11" s="20">
        <f>'RAND Adjusted Estimates'!Q3</f>
        <v>872375.63989838201</v>
      </c>
      <c r="R11" s="20">
        <f>'RAND Adjusted Estimates'!R3</f>
        <v>571335.45089358359</v>
      </c>
      <c r="S11" s="20">
        <f>'RAND Adjusted Estimates'!S3</f>
        <v>859859.26246590668</v>
      </c>
      <c r="T11" s="20">
        <f>'RAND Adjusted Estimates'!T3</f>
        <v>805294.95040755463</v>
      </c>
      <c r="U11" s="20">
        <f>'RAND Adjusted Estimates'!U3</f>
        <v>808561.71558381582</v>
      </c>
      <c r="V11" s="20">
        <f>'RAND Adjusted Estimates'!V3</f>
        <v>832913.11656914616</v>
      </c>
      <c r="W11" s="20">
        <f>'RAND Adjusted Estimates'!W3</f>
        <v>1179440.7789860861</v>
      </c>
    </row>
    <row r="12" spans="1:25" x14ac:dyDescent="0.25">
      <c r="A12" s="516" t="s">
        <v>485</v>
      </c>
      <c r="B12" s="517">
        <f>B11*(1-B9)</f>
        <v>280611.27886538621</v>
      </c>
      <c r="C12" s="517">
        <f t="shared" ref="C12:W12" si="1">C11*(1-C9)</f>
        <v>223338.39245882703</v>
      </c>
      <c r="D12" s="517">
        <f t="shared" si="1"/>
        <v>511948.05350747902</v>
      </c>
      <c r="E12" s="517">
        <f t="shared" si="1"/>
        <v>321922.98906612169</v>
      </c>
      <c r="F12" s="517">
        <f t="shared" si="1"/>
        <v>241589.77319461337</v>
      </c>
      <c r="G12" s="517">
        <f t="shared" si="1"/>
        <v>347711.52647067083</v>
      </c>
      <c r="H12" s="517">
        <f t="shared" si="1"/>
        <v>391826.58730941324</v>
      </c>
      <c r="I12" s="517">
        <f t="shared" si="1"/>
        <v>424546.13804550702</v>
      </c>
      <c r="J12" s="517">
        <f t="shared" si="1"/>
        <v>287530.62250503059</v>
      </c>
      <c r="K12" s="517">
        <f t="shared" si="1"/>
        <v>336957.27316147398</v>
      </c>
      <c r="L12" s="517">
        <f t="shared" si="1"/>
        <v>610485.84373397287</v>
      </c>
      <c r="M12" s="517">
        <f t="shared" si="1"/>
        <v>368052.88137874479</v>
      </c>
      <c r="N12" s="517">
        <f t="shared" si="1"/>
        <v>355055.80371067207</v>
      </c>
      <c r="O12" s="517">
        <f t="shared" si="1"/>
        <v>260938.73434032034</v>
      </c>
      <c r="P12" s="517">
        <f t="shared" si="1"/>
        <v>324666.4682329052</v>
      </c>
      <c r="Q12" s="517">
        <f t="shared" si="1"/>
        <v>580138.1723619164</v>
      </c>
      <c r="R12" s="517">
        <f t="shared" si="1"/>
        <v>491636.0541918017</v>
      </c>
      <c r="S12" s="517">
        <f t="shared" si="1"/>
        <v>735027.01268128364</v>
      </c>
      <c r="T12" s="517">
        <f t="shared" si="1"/>
        <v>648881.45458732126</v>
      </c>
      <c r="U12" s="517">
        <f t="shared" si="1"/>
        <v>596977.07893161452</v>
      </c>
      <c r="V12" s="517">
        <f t="shared" si="1"/>
        <v>655738.62712468032</v>
      </c>
      <c r="W12" s="517">
        <f t="shared" si="1"/>
        <v>580992.52772854595</v>
      </c>
    </row>
    <row r="13" spans="1:25" ht="45" x14ac:dyDescent="0.25">
      <c r="A13" s="518" t="s">
        <v>488</v>
      </c>
      <c r="B13" s="517">
        <f>B10+(B11*B9)</f>
        <v>813616.91768324957</v>
      </c>
      <c r="C13" s="517">
        <f t="shared" ref="C13:W13" si="2">C10+(C11*C9)</f>
        <v>818429.87993390555</v>
      </c>
      <c r="D13" s="517">
        <f t="shared" si="2"/>
        <v>857486.59747183451</v>
      </c>
      <c r="E13" s="517">
        <f t="shared" si="2"/>
        <v>893764.78121787927</v>
      </c>
      <c r="F13" s="517">
        <f t="shared" si="2"/>
        <v>781361.96289490361</v>
      </c>
      <c r="G13" s="517">
        <f t="shared" si="2"/>
        <v>932322.18417088722</v>
      </c>
      <c r="H13" s="517">
        <f t="shared" si="2"/>
        <v>784890.23002425581</v>
      </c>
      <c r="I13" s="517">
        <f t="shared" si="2"/>
        <v>1187412.6929387022</v>
      </c>
      <c r="J13" s="517">
        <f t="shared" si="2"/>
        <v>805840.12596495997</v>
      </c>
      <c r="K13" s="517">
        <f t="shared" si="2"/>
        <v>1124820.5846576814</v>
      </c>
      <c r="L13" s="517">
        <f t="shared" si="2"/>
        <v>1375110.0320863491</v>
      </c>
      <c r="M13" s="517">
        <f t="shared" si="2"/>
        <v>1422283.7730490477</v>
      </c>
      <c r="N13" s="517">
        <f t="shared" si="2"/>
        <v>1655224.3720224656</v>
      </c>
      <c r="O13" s="517">
        <f t="shared" si="2"/>
        <v>1719809.8841994158</v>
      </c>
      <c r="P13" s="517">
        <f t="shared" si="2"/>
        <v>1836675.1516604121</v>
      </c>
      <c r="Q13" s="517">
        <f t="shared" si="2"/>
        <v>2228747.8631797647</v>
      </c>
      <c r="R13" s="517">
        <f t="shared" si="2"/>
        <v>2003565.8555104851</v>
      </c>
      <c r="S13" s="517">
        <f t="shared" si="2"/>
        <v>2136369.3523093886</v>
      </c>
      <c r="T13" s="517">
        <f t="shared" si="2"/>
        <v>2350195.6495162896</v>
      </c>
      <c r="U13" s="517">
        <f t="shared" si="2"/>
        <v>2055374.9029784168</v>
      </c>
      <c r="V13" s="517">
        <f t="shared" si="2"/>
        <v>1597853.330141325</v>
      </c>
      <c r="W13" s="517">
        <f t="shared" si="2"/>
        <v>2369450.6048355475</v>
      </c>
    </row>
  </sheetData>
  <mergeCells count="1">
    <mergeCell ref="A1:N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4E4C-40AE-4CF5-9315-89920CA09FE7}">
  <dimension ref="A1:AO83"/>
  <sheetViews>
    <sheetView zoomScaleNormal="100" workbookViewId="0">
      <pane xSplit="1" ySplit="1" topLeftCell="B2" activePane="bottomRight" state="frozen"/>
      <selection pane="topRight" activeCell="B1" sqref="B1"/>
      <selection pane="bottomLeft" activeCell="A2" sqref="A2"/>
      <selection pane="bottomRight" sqref="A1:P1"/>
    </sheetView>
  </sheetViews>
  <sheetFormatPr defaultColWidth="8.7109375" defaultRowHeight="15" x14ac:dyDescent="0.25"/>
  <cols>
    <col min="1" max="1" width="25.7109375" style="528" customWidth="1"/>
    <col min="2" max="3" width="13.42578125" style="528" bestFit="1" customWidth="1"/>
    <col min="4" max="4" width="14.5703125" style="528" bestFit="1" customWidth="1"/>
    <col min="5" max="21" width="14.5703125" style="525" bestFit="1" customWidth="1"/>
    <col min="22" max="22" width="15.7109375" style="525" customWidth="1"/>
    <col min="23" max="23" width="19.28515625" style="525" customWidth="1"/>
    <col min="24" max="24" width="16.28515625" style="525" bestFit="1" customWidth="1"/>
    <col min="25" max="29" width="13.140625" style="525" bestFit="1" customWidth="1"/>
    <col min="30" max="30" width="13.28515625" style="525" customWidth="1"/>
    <col min="31" max="33" width="13.140625" style="525" bestFit="1" customWidth="1"/>
    <col min="34" max="34" width="14.42578125" style="525" bestFit="1" customWidth="1"/>
    <col min="35" max="35" width="19.7109375" style="525" customWidth="1"/>
    <col min="36" max="36" width="12.7109375" style="525" customWidth="1"/>
    <col min="37" max="37" width="31.140625" style="525" customWidth="1"/>
    <col min="38" max="38" width="21.28515625" style="525" customWidth="1"/>
    <col min="39" max="39" width="22" style="525" customWidth="1"/>
    <col min="40" max="40" width="12.7109375" style="525" customWidth="1"/>
    <col min="41" max="16384" width="8.7109375" style="525"/>
  </cols>
  <sheetData>
    <row r="1" spans="1:41" ht="49.9" customHeight="1" x14ac:dyDescent="0.25">
      <c r="A1" s="608" t="s">
        <v>464</v>
      </c>
      <c r="B1" s="608"/>
      <c r="C1" s="608"/>
      <c r="D1" s="608"/>
      <c r="E1" s="608"/>
      <c r="F1" s="608"/>
      <c r="G1" s="608"/>
      <c r="H1" s="608"/>
      <c r="I1" s="608"/>
      <c r="J1" s="608"/>
      <c r="K1" s="608"/>
      <c r="L1" s="608"/>
      <c r="M1" s="608"/>
      <c r="N1" s="608"/>
      <c r="O1" s="608"/>
      <c r="P1" s="608"/>
      <c r="Q1" s="189"/>
      <c r="R1" s="189"/>
      <c r="S1" s="189"/>
      <c r="T1" s="189"/>
      <c r="U1" s="189"/>
      <c r="V1" s="189"/>
      <c r="W1" s="189"/>
      <c r="X1" s="189"/>
      <c r="Y1" s="189"/>
      <c r="Z1" s="189"/>
      <c r="AA1" s="189"/>
      <c r="AB1" s="189"/>
      <c r="AC1" s="189"/>
      <c r="AD1" s="189"/>
      <c r="AE1" s="189"/>
      <c r="AF1" s="189"/>
      <c r="AG1" s="189"/>
      <c r="AH1" s="189"/>
      <c r="AI1" s="502"/>
    </row>
    <row r="2" spans="1:41" ht="25.9" customHeight="1" x14ac:dyDescent="0.25">
      <c r="AJ2" s="38"/>
    </row>
    <row r="3" spans="1:41" x14ac:dyDescent="0.25">
      <c r="AJ3" s="38"/>
    </row>
    <row r="4" spans="1:41" ht="15.75" thickBot="1" x14ac:dyDescent="0.3"/>
    <row r="5" spans="1:41" x14ac:dyDescent="0.25">
      <c r="A5" s="257"/>
      <c r="B5" s="332">
        <v>1999</v>
      </c>
      <c r="C5" s="332">
        <v>2000</v>
      </c>
      <c r="D5" s="332">
        <v>2001</v>
      </c>
      <c r="E5" s="332">
        <v>2002</v>
      </c>
      <c r="F5" s="332">
        <v>2003</v>
      </c>
      <c r="G5" s="332">
        <v>2004</v>
      </c>
      <c r="H5" s="332">
        <v>2005</v>
      </c>
      <c r="I5" s="332">
        <v>2006</v>
      </c>
      <c r="J5" s="332">
        <v>2007</v>
      </c>
      <c r="K5" s="332">
        <v>2008</v>
      </c>
      <c r="L5" s="332">
        <v>2009</v>
      </c>
      <c r="M5" s="332">
        <v>2010</v>
      </c>
      <c r="N5" s="332">
        <v>2011</v>
      </c>
      <c r="O5" s="332">
        <v>2012</v>
      </c>
      <c r="P5" s="332">
        <v>2013</v>
      </c>
      <c r="Q5" s="332">
        <v>2014</v>
      </c>
      <c r="R5" s="332">
        <v>2015</v>
      </c>
      <c r="S5" s="332">
        <v>2016</v>
      </c>
      <c r="T5" s="332">
        <v>2017</v>
      </c>
      <c r="U5" s="332">
        <v>2018</v>
      </c>
      <c r="V5" s="332">
        <v>2019</v>
      </c>
      <c r="W5" s="332">
        <v>2020</v>
      </c>
      <c r="X5" s="455">
        <v>2021</v>
      </c>
      <c r="Y5" s="333">
        <v>2022</v>
      </c>
      <c r="Z5" s="333">
        <v>2023</v>
      </c>
      <c r="AA5" s="333">
        <v>2024</v>
      </c>
      <c r="AB5" s="333">
        <v>2025</v>
      </c>
      <c r="AC5" s="333">
        <v>2026</v>
      </c>
      <c r="AD5" s="333">
        <v>2027</v>
      </c>
      <c r="AE5" s="333">
        <v>2028</v>
      </c>
      <c r="AF5" s="333">
        <v>2029</v>
      </c>
      <c r="AG5" s="333">
        <v>2030</v>
      </c>
      <c r="AH5" s="333">
        <v>2031</v>
      </c>
      <c r="AI5" s="334">
        <v>2032</v>
      </c>
    </row>
    <row r="6" spans="1:41" ht="18.75" x14ac:dyDescent="0.3">
      <c r="A6" s="258" t="str">
        <f>'Buprenorphine Capacity'!A73</f>
        <v>Total waivered providers</v>
      </c>
      <c r="B6" s="528">
        <f>'Buprenorphine Capacity'!B5</f>
        <v>0</v>
      </c>
      <c r="C6" s="528">
        <f>'Buprenorphine Capacity'!C5</f>
        <v>0</v>
      </c>
      <c r="D6" s="528">
        <f>'Buprenorphine Capacity'!D5</f>
        <v>0</v>
      </c>
      <c r="E6" s="529">
        <f>'Buprenorphine Capacity'!E5</f>
        <v>0</v>
      </c>
      <c r="F6" s="529">
        <f>'Buprenorphine Capacity'!F5</f>
        <v>1893</v>
      </c>
      <c r="G6" s="529">
        <f>'Buprenorphine Capacity'!G5</f>
        <v>3256</v>
      </c>
      <c r="H6" s="529">
        <f>'Buprenorphine Capacity'!H5</f>
        <v>5484</v>
      </c>
      <c r="I6" s="529">
        <f>'Buprenorphine Capacity'!I5</f>
        <v>8555.5</v>
      </c>
      <c r="J6" s="529">
        <f>'Buprenorphine Capacity'!J5</f>
        <v>10637</v>
      </c>
      <c r="K6" s="529">
        <f>'Buprenorphine Capacity'!K5</f>
        <v>14365.333333333332</v>
      </c>
      <c r="L6" s="529">
        <f>'Buprenorphine Capacity'!L5</f>
        <v>15817.5</v>
      </c>
      <c r="M6" s="529">
        <f>'Buprenorphine Capacity'!M5</f>
        <v>18023.5</v>
      </c>
      <c r="N6" s="529">
        <f>'Buprenorphine Capacity'!N5</f>
        <v>20148</v>
      </c>
      <c r="O6" s="529">
        <f>'Buprenorphine Capacity'!O5</f>
        <v>22198</v>
      </c>
      <c r="P6" s="529">
        <f>'Buprenorphine Capacity'!P5</f>
        <v>23629</v>
      </c>
      <c r="Q6" s="529">
        <f>'Buprenorphine Capacity'!Q5</f>
        <v>25738</v>
      </c>
      <c r="R6" s="529">
        <f>'Buprenorphine Capacity'!R5</f>
        <v>28930.5</v>
      </c>
      <c r="S6" s="529">
        <f>'Buprenorphine Capacity'!S5</f>
        <v>32122.999999999996</v>
      </c>
      <c r="T6" s="529">
        <f>'Buprenorphine Capacity'!T5</f>
        <v>42037</v>
      </c>
      <c r="U6" s="529">
        <f>'Buprenorphine Capacity'!U5</f>
        <v>57426.5</v>
      </c>
      <c r="V6" s="529">
        <f>'Buprenorphine Capacity'!V5</f>
        <v>66800</v>
      </c>
      <c r="W6" s="529">
        <f>'Buprenorphine Capacity'!W5</f>
        <v>94223</v>
      </c>
      <c r="X6" s="529">
        <f>'Buprenorphine Capacity'!X5</f>
        <v>114376</v>
      </c>
      <c r="Y6" s="530">
        <f t="shared" ref="Y6:AI6" si="0">$Y$7*LN(Y9)+$Y$8</f>
        <v>125652.18697512666</v>
      </c>
      <c r="Z6" s="530">
        <f t="shared" si="0"/>
        <v>135225.71475716023</v>
      </c>
      <c r="AA6" s="530">
        <f t="shared" si="0"/>
        <v>143047.85650829124</v>
      </c>
      <c r="AB6" s="530">
        <f t="shared" si="0"/>
        <v>149661.3831249201</v>
      </c>
      <c r="AC6" s="530">
        <f t="shared" si="0"/>
        <v>155390.28046268999</v>
      </c>
      <c r="AD6" s="530">
        <f t="shared" si="0"/>
        <v>160443.52604145583</v>
      </c>
      <c r="AE6" s="530">
        <f t="shared" si="0"/>
        <v>164963.80824472354</v>
      </c>
      <c r="AF6" s="530">
        <f t="shared" si="0"/>
        <v>169052.90088886849</v>
      </c>
      <c r="AG6" s="530">
        <f t="shared" si="0"/>
        <v>172785.94999585458</v>
      </c>
      <c r="AH6" s="531">
        <f t="shared" si="0"/>
        <v>176220.02228317229</v>
      </c>
      <c r="AI6" s="253">
        <f t="shared" si="0"/>
        <v>179399.47661248344</v>
      </c>
      <c r="AO6" s="238"/>
    </row>
    <row r="7" spans="1:41" x14ac:dyDescent="0.25">
      <c r="A7" s="258"/>
      <c r="X7" s="532" t="s">
        <v>465</v>
      </c>
      <c r="Y7" s="533">
        <v>42903</v>
      </c>
      <c r="Z7" s="534"/>
      <c r="AA7" s="534"/>
      <c r="AB7" s="534"/>
      <c r="AC7" s="534"/>
      <c r="AD7" s="534"/>
      <c r="AE7" s="534"/>
      <c r="AF7" s="534"/>
      <c r="AG7" s="534"/>
      <c r="AH7" s="534"/>
      <c r="AI7" s="261"/>
    </row>
    <row r="8" spans="1:41" x14ac:dyDescent="0.25">
      <c r="A8" s="258"/>
      <c r="X8" s="533" t="s">
        <v>466</v>
      </c>
      <c r="Y8" s="533">
        <v>66176</v>
      </c>
      <c r="Z8" s="534"/>
      <c r="AA8" s="534"/>
      <c r="AB8" s="534"/>
      <c r="AC8" s="534"/>
      <c r="AD8" s="534"/>
      <c r="AE8" s="534"/>
      <c r="AF8" s="534"/>
      <c r="AG8" s="534"/>
      <c r="AH8" s="534"/>
      <c r="AI8" s="261"/>
    </row>
    <row r="9" spans="1:41" ht="43.15" customHeight="1" thickBot="1" x14ac:dyDescent="0.3">
      <c r="A9" s="259"/>
      <c r="B9" s="370"/>
      <c r="C9" s="370"/>
      <c r="D9" s="370"/>
      <c r="E9" s="254"/>
      <c r="F9" s="254"/>
      <c r="G9" s="254"/>
      <c r="H9" s="254"/>
      <c r="I9" s="254"/>
      <c r="J9" s="254"/>
      <c r="K9" s="254"/>
      <c r="L9" s="254"/>
      <c r="M9" s="254"/>
      <c r="N9" s="254"/>
      <c r="O9" s="254"/>
      <c r="P9" s="254"/>
      <c r="Q9" s="254"/>
      <c r="R9" s="254"/>
      <c r="S9" s="254"/>
      <c r="T9" s="254"/>
      <c r="U9" s="254"/>
      <c r="V9" s="254"/>
      <c r="W9" s="254"/>
      <c r="X9" s="267" t="s">
        <v>467</v>
      </c>
      <c r="Y9" s="269">
        <v>4</v>
      </c>
      <c r="Z9" s="269">
        <v>5</v>
      </c>
      <c r="AA9" s="269">
        <v>6</v>
      </c>
      <c r="AB9" s="269">
        <v>7</v>
      </c>
      <c r="AC9" s="269">
        <v>8</v>
      </c>
      <c r="AD9" s="269">
        <v>9</v>
      </c>
      <c r="AE9" s="269">
        <v>10</v>
      </c>
      <c r="AF9" s="269">
        <v>11</v>
      </c>
      <c r="AG9" s="269">
        <v>12</v>
      </c>
      <c r="AH9" s="269">
        <v>13</v>
      </c>
      <c r="AI9" s="270">
        <v>14</v>
      </c>
    </row>
    <row r="11" spans="1:41" ht="15.75" thickBot="1" x14ac:dyDescent="0.3"/>
    <row r="12" spans="1:41" x14ac:dyDescent="0.25">
      <c r="A12" s="368" t="s">
        <v>469</v>
      </c>
      <c r="B12" s="332">
        <v>1999</v>
      </c>
      <c r="C12" s="332">
        <v>2000</v>
      </c>
      <c r="D12" s="332">
        <v>2001</v>
      </c>
      <c r="E12" s="252">
        <v>2002</v>
      </c>
      <c r="F12" s="252">
        <v>2003</v>
      </c>
      <c r="G12" s="252">
        <v>2004</v>
      </c>
      <c r="H12" s="252">
        <v>2005</v>
      </c>
      <c r="I12" s="252">
        <v>2006</v>
      </c>
      <c r="J12" s="252">
        <v>2007</v>
      </c>
      <c r="K12" s="252">
        <v>2008</v>
      </c>
      <c r="L12" s="252">
        <v>2009</v>
      </c>
      <c r="M12" s="252">
        <v>2010</v>
      </c>
      <c r="N12" s="252">
        <v>2011</v>
      </c>
      <c r="O12" s="252">
        <v>2012</v>
      </c>
      <c r="P12" s="252">
        <v>2013</v>
      </c>
      <c r="Q12" s="252">
        <v>2014</v>
      </c>
      <c r="R12" s="252">
        <v>2015</v>
      </c>
      <c r="S12" s="252">
        <v>2016</v>
      </c>
      <c r="T12" s="252">
        <v>2017</v>
      </c>
      <c r="U12" s="252">
        <v>2018</v>
      </c>
      <c r="V12" s="252">
        <v>2019</v>
      </c>
      <c r="W12" s="260">
        <v>2020</v>
      </c>
      <c r="X12" s="260">
        <v>2021</v>
      </c>
      <c r="Y12" s="260">
        <v>2022</v>
      </c>
      <c r="Z12" s="260">
        <v>2023</v>
      </c>
      <c r="AA12" s="260">
        <v>2024</v>
      </c>
      <c r="AB12" s="260">
        <v>2025</v>
      </c>
      <c r="AC12" s="260">
        <v>2026</v>
      </c>
      <c r="AD12" s="260">
        <v>2027</v>
      </c>
      <c r="AE12" s="260">
        <v>2028</v>
      </c>
      <c r="AF12" s="260">
        <v>2029</v>
      </c>
      <c r="AG12" s="260">
        <v>2030</v>
      </c>
      <c r="AH12" s="260">
        <v>2031</v>
      </c>
      <c r="AI12" s="334">
        <v>2032</v>
      </c>
    </row>
    <row r="13" spans="1:41" ht="30" x14ac:dyDescent="0.25">
      <c r="A13" s="258" t="s">
        <v>6</v>
      </c>
      <c r="B13" s="535">
        <f>'Methadone NSSATS'!B3</f>
        <v>159053.5</v>
      </c>
      <c r="C13" s="535">
        <f>'Methadone NSSATS'!C3</f>
        <v>172497</v>
      </c>
      <c r="D13" s="535">
        <f>'Methadone NSSATS'!D3</f>
        <v>198998.5</v>
      </c>
      <c r="E13" s="529">
        <f>'Methadone NSSATS'!E3</f>
        <v>225500</v>
      </c>
      <c r="F13" s="529">
        <f>'Methadone NSSATS'!F3</f>
        <v>227003</v>
      </c>
      <c r="G13" s="529">
        <f>'Methadone NSSATS'!G3</f>
        <v>240961</v>
      </c>
      <c r="H13" s="529">
        <f>'Methadone NSSATS'!H3</f>
        <v>235836</v>
      </c>
      <c r="I13" s="529">
        <f>'Methadone NSSATS'!I3</f>
        <v>258752</v>
      </c>
      <c r="J13" s="529">
        <f>'Methadone NSSATS'!J3</f>
        <v>262684</v>
      </c>
      <c r="K13" s="529">
        <f>'Methadone NSSATS'!K3</f>
        <v>268071</v>
      </c>
      <c r="L13" s="529">
        <f>'Methadone NSSATS'!L3</f>
        <v>283177</v>
      </c>
      <c r="M13" s="529">
        <f>'Methadone NSSATS'!M3</f>
        <v>299643</v>
      </c>
      <c r="N13" s="529">
        <f>'Methadone NSSATS'!N3</f>
        <v>306440</v>
      </c>
      <c r="O13" s="529">
        <f>'Methadone NSSATS'!O3</f>
        <v>311718</v>
      </c>
      <c r="P13" s="529">
        <f>'Methadone NSSATS'!P3</f>
        <v>330308</v>
      </c>
      <c r="Q13" s="529">
        <f>'Methadone NSSATS'!Q3</f>
        <v>343576</v>
      </c>
      <c r="R13" s="529">
        <f>'Methadone NSSATS'!R3</f>
        <v>356843</v>
      </c>
      <c r="S13" s="529">
        <f>'Methadone NSSATS'!S3</f>
        <v>345443</v>
      </c>
      <c r="T13" s="529">
        <f>'Methadone NSSATS'!T3</f>
        <v>382867</v>
      </c>
      <c r="U13" s="529">
        <f>'Methadone NSSATS'!U3</f>
        <v>395708.5</v>
      </c>
      <c r="V13" s="529">
        <f>'Methadone NSSATS'!V3</f>
        <v>408550</v>
      </c>
      <c r="W13" s="534">
        <f t="shared" ref="W13:AI13" si="1">($W$14*W16)+$W$15</f>
        <v>421394</v>
      </c>
      <c r="X13" s="534">
        <f t="shared" si="1"/>
        <v>434236</v>
      </c>
      <c r="Y13" s="534">
        <f t="shared" si="1"/>
        <v>447078</v>
      </c>
      <c r="Z13" s="534">
        <f t="shared" si="1"/>
        <v>459920</v>
      </c>
      <c r="AA13" s="534">
        <f t="shared" si="1"/>
        <v>472762</v>
      </c>
      <c r="AB13" s="534">
        <f t="shared" si="1"/>
        <v>485604</v>
      </c>
      <c r="AC13" s="534">
        <f t="shared" si="1"/>
        <v>498446</v>
      </c>
      <c r="AD13" s="534">
        <f t="shared" si="1"/>
        <v>511288</v>
      </c>
      <c r="AE13" s="534">
        <f t="shared" si="1"/>
        <v>524130</v>
      </c>
      <c r="AF13" s="534">
        <f t="shared" si="1"/>
        <v>536972</v>
      </c>
      <c r="AG13" s="534">
        <f t="shared" si="1"/>
        <v>549814</v>
      </c>
      <c r="AH13" s="534">
        <f t="shared" si="1"/>
        <v>562656</v>
      </c>
      <c r="AI13" s="261">
        <f t="shared" si="1"/>
        <v>575498</v>
      </c>
    </row>
    <row r="14" spans="1:41" x14ac:dyDescent="0.25">
      <c r="A14" s="258"/>
      <c r="V14" s="532" t="s">
        <v>465</v>
      </c>
      <c r="W14" s="533">
        <v>12842</v>
      </c>
      <c r="X14" s="534"/>
      <c r="Y14" s="534"/>
      <c r="Z14" s="534"/>
      <c r="AA14" s="534"/>
      <c r="AB14" s="534"/>
      <c r="AC14" s="534"/>
      <c r="AD14" s="534"/>
      <c r="AE14" s="534"/>
      <c r="AF14" s="534"/>
      <c r="AG14" s="534"/>
      <c r="AH14" s="534"/>
      <c r="AI14" s="261"/>
    </row>
    <row r="15" spans="1:41" x14ac:dyDescent="0.25">
      <c r="A15" s="258"/>
      <c r="V15" s="533" t="s">
        <v>466</v>
      </c>
      <c r="W15" s="533">
        <v>370026</v>
      </c>
      <c r="X15" s="534"/>
      <c r="Y15" s="534"/>
      <c r="Z15" s="534"/>
      <c r="AA15" s="534"/>
      <c r="AB15" s="534"/>
      <c r="AC15" s="534"/>
      <c r="AD15" s="534"/>
      <c r="AE15" s="534"/>
      <c r="AF15" s="534"/>
      <c r="AG15" s="534"/>
      <c r="AH15" s="534"/>
      <c r="AI15" s="261"/>
    </row>
    <row r="16" spans="1:41" ht="45" x14ac:dyDescent="0.25">
      <c r="A16" s="258"/>
      <c r="V16" s="532" t="s">
        <v>470</v>
      </c>
      <c r="W16" s="534">
        <f>COUNT(T12:W12)</f>
        <v>4</v>
      </c>
      <c r="X16" s="534">
        <v>5</v>
      </c>
      <c r="Y16" s="534">
        <v>6</v>
      </c>
      <c r="Z16" s="534">
        <v>7</v>
      </c>
      <c r="AA16" s="534">
        <v>8</v>
      </c>
      <c r="AB16" s="534">
        <v>9</v>
      </c>
      <c r="AC16" s="534">
        <v>10</v>
      </c>
      <c r="AD16" s="534">
        <v>11</v>
      </c>
      <c r="AE16" s="534">
        <v>12</v>
      </c>
      <c r="AF16" s="534">
        <v>13</v>
      </c>
      <c r="AG16" s="534">
        <v>14</v>
      </c>
      <c r="AH16" s="534">
        <v>15</v>
      </c>
      <c r="AI16" s="261">
        <v>16</v>
      </c>
    </row>
    <row r="17" spans="1:35" ht="19.5" thickBot="1" x14ac:dyDescent="0.35">
      <c r="A17" s="259"/>
      <c r="B17" s="370"/>
      <c r="C17" s="370"/>
      <c r="D17" s="370"/>
      <c r="E17" s="254"/>
      <c r="F17" s="254"/>
      <c r="G17" s="254"/>
      <c r="H17" s="254"/>
      <c r="I17" s="254"/>
      <c r="J17" s="254"/>
      <c r="K17" s="254"/>
      <c r="L17" s="254"/>
      <c r="M17" s="254"/>
      <c r="N17" s="254"/>
      <c r="O17" s="254"/>
      <c r="P17" s="254"/>
      <c r="Q17" s="254"/>
      <c r="R17" s="254"/>
      <c r="S17" s="254"/>
      <c r="T17" s="254"/>
      <c r="U17" s="254"/>
      <c r="V17" s="264" t="s">
        <v>468</v>
      </c>
      <c r="W17" s="264"/>
      <c r="X17" s="264"/>
      <c r="Y17" s="264">
        <v>0.86599999999999999</v>
      </c>
      <c r="Z17" s="255">
        <f>AH13/Y17</f>
        <v>649718.24480369512</v>
      </c>
      <c r="AA17" s="264"/>
      <c r="AB17" s="264"/>
      <c r="AC17" s="264"/>
      <c r="AD17" s="264"/>
      <c r="AE17" s="264"/>
      <c r="AF17" s="264"/>
      <c r="AG17" s="264"/>
      <c r="AH17" s="264"/>
      <c r="AI17" s="265"/>
    </row>
    <row r="18" spans="1:35" x14ac:dyDescent="0.25">
      <c r="W18" s="246" t="s">
        <v>479</v>
      </c>
    </row>
    <row r="19" spans="1:35" ht="15.75" thickBot="1" x14ac:dyDescent="0.3"/>
    <row r="20" spans="1:35" x14ac:dyDescent="0.25">
      <c r="A20" s="257"/>
      <c r="B20" s="332">
        <v>1999</v>
      </c>
      <c r="C20" s="332">
        <v>2000</v>
      </c>
      <c r="D20" s="332">
        <v>2001</v>
      </c>
      <c r="E20" s="252">
        <v>2002</v>
      </c>
      <c r="F20" s="252">
        <v>2003</v>
      </c>
      <c r="G20" s="252">
        <v>2004</v>
      </c>
      <c r="H20" s="252">
        <v>2005</v>
      </c>
      <c r="I20" s="252">
        <v>2006</v>
      </c>
      <c r="J20" s="252">
        <v>2007</v>
      </c>
      <c r="K20" s="252">
        <v>2008</v>
      </c>
      <c r="L20" s="252">
        <v>2009</v>
      </c>
      <c r="M20" s="252">
        <v>2010</v>
      </c>
      <c r="N20" s="252">
        <v>2011</v>
      </c>
      <c r="O20" s="252">
        <v>2012</v>
      </c>
      <c r="P20" s="252">
        <v>2013</v>
      </c>
      <c r="Q20" s="252">
        <v>2014</v>
      </c>
      <c r="R20" s="252">
        <v>2015</v>
      </c>
      <c r="S20" s="252">
        <v>2016</v>
      </c>
      <c r="T20" s="252">
        <v>2017</v>
      </c>
      <c r="U20" s="252">
        <v>2018</v>
      </c>
      <c r="V20" s="252">
        <v>2019</v>
      </c>
      <c r="W20" s="260">
        <v>2020</v>
      </c>
      <c r="X20" s="260">
        <v>2021</v>
      </c>
      <c r="Y20" s="260">
        <v>2022</v>
      </c>
      <c r="Z20" s="260">
        <v>2023</v>
      </c>
      <c r="AA20" s="260">
        <v>2024</v>
      </c>
      <c r="AB20" s="260">
        <v>2025</v>
      </c>
      <c r="AC20" s="260">
        <v>2026</v>
      </c>
      <c r="AD20" s="260">
        <v>2027</v>
      </c>
      <c r="AE20" s="260">
        <v>2028</v>
      </c>
      <c r="AF20" s="260">
        <v>2029</v>
      </c>
      <c r="AG20" s="260">
        <v>2030</v>
      </c>
      <c r="AH20" s="260">
        <v>2031</v>
      </c>
      <c r="AI20" s="334">
        <v>2032</v>
      </c>
    </row>
    <row r="21" spans="1:35" x14ac:dyDescent="0.25">
      <c r="A21" s="258" t="str">
        <f>'Vivitrol IQVIA'!A2</f>
        <v>Tx point patients Viv IQVIA</v>
      </c>
      <c r="B21" s="536">
        <f>'Vivitrol IQVIA'!B2</f>
        <v>0</v>
      </c>
      <c r="C21" s="536">
        <f>'Vivitrol IQVIA'!C2</f>
        <v>0</v>
      </c>
      <c r="D21" s="536">
        <f>'Vivitrol IQVIA'!D2</f>
        <v>0</v>
      </c>
      <c r="E21" s="238">
        <f>'Vivitrol IQVIA'!E2</f>
        <v>0</v>
      </c>
      <c r="F21" s="238">
        <f>'Vivitrol IQVIA'!F2</f>
        <v>0</v>
      </c>
      <c r="G21" s="238">
        <f>'Vivitrol IQVIA'!G2</f>
        <v>0</v>
      </c>
      <c r="H21" s="238">
        <f>'Vivitrol IQVIA'!H2</f>
        <v>0</v>
      </c>
      <c r="I21" s="238">
        <f>'Vivitrol IQVIA'!I2</f>
        <v>0</v>
      </c>
      <c r="J21" s="238">
        <f>'Vivitrol IQVIA'!J2</f>
        <v>0</v>
      </c>
      <c r="K21" s="238">
        <f>'Vivitrol IQVIA'!K2</f>
        <v>0</v>
      </c>
      <c r="L21" s="238">
        <f>'Vivitrol IQVIA'!L2</f>
        <v>0</v>
      </c>
      <c r="M21" s="238">
        <f>'Vivitrol IQVIA'!M2</f>
        <v>434.77083333333331</v>
      </c>
      <c r="N21" s="238">
        <f>'Vivitrol IQVIA'!N2</f>
        <v>1543.5208333333333</v>
      </c>
      <c r="O21" s="238">
        <f>'Vivitrol IQVIA'!O2</f>
        <v>2990.2708333333335</v>
      </c>
      <c r="P21" s="238">
        <f>'Vivitrol IQVIA'!P2</f>
        <v>4705.6875</v>
      </c>
      <c r="Q21" s="238">
        <f>'Vivitrol IQVIA'!Q2</f>
        <v>6685.270833333333</v>
      </c>
      <c r="R21" s="238">
        <f>'Vivitrol IQVIA'!R2</f>
        <v>10849.4375</v>
      </c>
      <c r="S21" s="238">
        <f>'Vivitrol IQVIA'!S2</f>
        <v>19529.104166666668</v>
      </c>
      <c r="T21" s="238">
        <f>'Vivitrol IQVIA'!T2</f>
        <v>26956.604166666668</v>
      </c>
      <c r="U21" s="238">
        <f>'Vivitrol IQVIA'!U2</f>
        <v>30646.604166666668</v>
      </c>
      <c r="V21" s="529">
        <f>'Vivitrol IQVIA'!V2</f>
        <v>32227.1875</v>
      </c>
      <c r="W21" s="530">
        <f t="shared" ref="W21:AI21" si="2">$W$22*LN(W24)+$W$23</f>
        <v>33773.072828875949</v>
      </c>
      <c r="X21" s="530">
        <f t="shared" si="2"/>
        <v>34856.211626955119</v>
      </c>
      <c r="Y21" s="530">
        <f t="shared" si="2"/>
        <v>35741.20046363298</v>
      </c>
      <c r="Z21" s="530">
        <f t="shared" si="2"/>
        <v>36489.447863514491</v>
      </c>
      <c r="AA21" s="530">
        <f t="shared" si="2"/>
        <v>37137.60924331392</v>
      </c>
      <c r="AB21" s="530">
        <f t="shared" si="2"/>
        <v>37709.328098390011</v>
      </c>
      <c r="AC21" s="530">
        <f t="shared" si="2"/>
        <v>38220.748041393097</v>
      </c>
      <c r="AD21" s="530">
        <f t="shared" si="2"/>
        <v>38683.383654163292</v>
      </c>
      <c r="AE21" s="530">
        <f t="shared" si="2"/>
        <v>39105.736878070951</v>
      </c>
      <c r="AF21" s="530">
        <f t="shared" si="2"/>
        <v>39494.264181118298</v>
      </c>
      <c r="AG21" s="530">
        <f t="shared" si="2"/>
        <v>39853.984277952462</v>
      </c>
      <c r="AH21" s="531">
        <f t="shared" si="2"/>
        <v>40188.875676150128</v>
      </c>
      <c r="AI21" s="266">
        <f t="shared" si="2"/>
        <v>40502.145657751898</v>
      </c>
    </row>
    <row r="22" spans="1:35" x14ac:dyDescent="0.25">
      <c r="A22" s="258"/>
      <c r="V22" s="532" t="s">
        <v>465</v>
      </c>
      <c r="W22" s="533">
        <v>4854</v>
      </c>
      <c r="X22" s="533"/>
      <c r="Y22" s="533"/>
      <c r="Z22" s="533"/>
      <c r="AA22" s="533"/>
      <c r="AB22" s="533"/>
      <c r="AC22" s="533"/>
      <c r="AD22" s="533"/>
      <c r="AE22" s="533"/>
      <c r="AF22" s="533"/>
      <c r="AG22" s="533"/>
      <c r="AH22" s="533"/>
      <c r="AI22" s="263"/>
    </row>
    <row r="23" spans="1:35" ht="35.65" customHeight="1" x14ac:dyDescent="0.25">
      <c r="A23" s="258"/>
      <c r="V23" s="533" t="s">
        <v>466</v>
      </c>
      <c r="W23" s="533">
        <v>27044</v>
      </c>
      <c r="X23" s="533"/>
      <c r="Y23" s="533"/>
      <c r="Z23" s="533"/>
      <c r="AA23" s="533"/>
      <c r="AB23" s="533"/>
      <c r="AC23" s="533"/>
      <c r="AD23" s="533"/>
      <c r="AE23" s="533"/>
      <c r="AF23" s="533"/>
      <c r="AG23" s="533"/>
      <c r="AH23" s="533"/>
      <c r="AI23" s="263"/>
    </row>
    <row r="24" spans="1:35" ht="45" x14ac:dyDescent="0.25">
      <c r="A24" s="258"/>
      <c r="V24" s="532" t="s">
        <v>470</v>
      </c>
      <c r="W24" s="534">
        <f>COUNT(T20:W20)</f>
        <v>4</v>
      </c>
      <c r="X24" s="534">
        <v>5</v>
      </c>
      <c r="Y24" s="534">
        <v>6</v>
      </c>
      <c r="Z24" s="534">
        <v>7</v>
      </c>
      <c r="AA24" s="534">
        <v>8</v>
      </c>
      <c r="AB24" s="534">
        <v>9</v>
      </c>
      <c r="AC24" s="534">
        <v>10</v>
      </c>
      <c r="AD24" s="534">
        <v>11</v>
      </c>
      <c r="AE24" s="534">
        <v>12</v>
      </c>
      <c r="AF24" s="534">
        <v>13</v>
      </c>
      <c r="AG24" s="534">
        <v>14</v>
      </c>
      <c r="AH24" s="534">
        <v>15</v>
      </c>
      <c r="AI24" s="261">
        <v>16</v>
      </c>
    </row>
    <row r="25" spans="1:35" ht="19.5" thickBot="1" x14ac:dyDescent="0.35">
      <c r="A25" s="259"/>
      <c r="B25" s="370"/>
      <c r="C25" s="370"/>
      <c r="D25" s="370"/>
      <c r="E25" s="254"/>
      <c r="F25" s="254"/>
      <c r="G25" s="254"/>
      <c r="H25" s="254"/>
      <c r="I25" s="254"/>
      <c r="J25" s="254"/>
      <c r="K25" s="254"/>
      <c r="L25" s="254"/>
      <c r="M25" s="254"/>
      <c r="N25" s="254"/>
      <c r="O25" s="254"/>
      <c r="P25" s="254"/>
      <c r="Q25" s="254"/>
      <c r="R25" s="254"/>
      <c r="S25" s="254"/>
      <c r="T25" s="254"/>
      <c r="U25" s="254"/>
      <c r="V25" s="264" t="s">
        <v>471</v>
      </c>
      <c r="W25" s="264"/>
      <c r="X25" s="264"/>
      <c r="Y25" s="264">
        <v>0.88</v>
      </c>
      <c r="Z25" s="255">
        <f>AI21/Y25</f>
        <v>46025.16552017261</v>
      </c>
      <c r="AA25" s="264"/>
      <c r="AB25" s="264"/>
      <c r="AC25" s="264"/>
      <c r="AD25" s="264"/>
      <c r="AE25" s="264"/>
      <c r="AF25" s="264"/>
      <c r="AG25" s="264"/>
      <c r="AH25" s="264"/>
      <c r="AI25" s="265"/>
    </row>
    <row r="26" spans="1:35" x14ac:dyDescent="0.25">
      <c r="W26" s="246" t="s">
        <v>472</v>
      </c>
    </row>
    <row r="27" spans="1:35" ht="15.75" thickBot="1" x14ac:dyDescent="0.3"/>
    <row r="28" spans="1:35" x14ac:dyDescent="0.25">
      <c r="A28" s="257"/>
      <c r="B28" s="332">
        <v>1999</v>
      </c>
      <c r="C28" s="332">
        <v>2000</v>
      </c>
      <c r="D28" s="332">
        <v>2001</v>
      </c>
      <c r="E28" s="252">
        <v>2002</v>
      </c>
      <c r="F28" s="252">
        <v>2003</v>
      </c>
      <c r="G28" s="252">
        <v>2004</v>
      </c>
      <c r="H28" s="252">
        <v>2005</v>
      </c>
      <c r="I28" s="252">
        <v>2006</v>
      </c>
      <c r="J28" s="252">
        <v>2007</v>
      </c>
      <c r="K28" s="252">
        <v>2008</v>
      </c>
      <c r="L28" s="252">
        <v>2009</v>
      </c>
      <c r="M28" s="252">
        <v>2010</v>
      </c>
      <c r="N28" s="252">
        <v>2011</v>
      </c>
      <c r="O28" s="252">
        <v>2012</v>
      </c>
      <c r="P28" s="252">
        <v>2013</v>
      </c>
      <c r="Q28" s="252">
        <v>2014</v>
      </c>
      <c r="R28" s="252">
        <v>2015</v>
      </c>
      <c r="S28" s="252">
        <v>2016</v>
      </c>
      <c r="T28" s="252">
        <v>2017</v>
      </c>
      <c r="U28" s="252">
        <v>2018</v>
      </c>
      <c r="V28" s="252">
        <v>2019</v>
      </c>
      <c r="W28" s="252">
        <v>2020</v>
      </c>
      <c r="X28" s="260">
        <v>2021</v>
      </c>
      <c r="Y28" s="260">
        <v>2022</v>
      </c>
      <c r="Z28" s="260">
        <v>2023</v>
      </c>
      <c r="AA28" s="260">
        <v>2024</v>
      </c>
      <c r="AB28" s="260">
        <v>2025</v>
      </c>
      <c r="AC28" s="260">
        <v>2026</v>
      </c>
      <c r="AD28" s="260">
        <v>2027</v>
      </c>
      <c r="AE28" s="260">
        <v>2028</v>
      </c>
      <c r="AF28" s="260">
        <v>2029</v>
      </c>
      <c r="AG28" s="260">
        <v>2030</v>
      </c>
      <c r="AH28" s="260">
        <v>2031</v>
      </c>
      <c r="AI28" s="334">
        <v>2032</v>
      </c>
    </row>
    <row r="29" spans="1:35" ht="48" customHeight="1" x14ac:dyDescent="0.3">
      <c r="A29" s="258" t="str">
        <f>'Nx kits HR + IQVIA'!T2</f>
        <v>Nx kits distributed HR IQVIA</v>
      </c>
      <c r="B29" s="371">
        <f>'Nx kits HR + IQVIA'!U2</f>
        <v>1103.5</v>
      </c>
      <c r="C29" s="371">
        <f>'Nx kits HR + IQVIA'!V2</f>
        <v>3310.5</v>
      </c>
      <c r="D29" s="371">
        <f>'Nx kits HR + IQVIA'!W2</f>
        <v>4414</v>
      </c>
      <c r="E29" s="529">
        <f>'Nx kits HR + IQVIA'!X2</f>
        <v>5517.5</v>
      </c>
      <c r="F29" s="529">
        <f>'Nx kits HR + IQVIA'!Y2</f>
        <v>9350.5</v>
      </c>
      <c r="G29" s="529">
        <f>'Nx kits HR + IQVIA'!Z2</f>
        <v>13113.5</v>
      </c>
      <c r="H29" s="529">
        <f>'Nx kits HR + IQVIA'!AA2</f>
        <v>14940.499999999998</v>
      </c>
      <c r="I29" s="529">
        <f>'Nx kits HR + IQVIA'!AB2</f>
        <v>24726.499999999996</v>
      </c>
      <c r="J29" s="529">
        <f>'Nx kits HR + IQVIA'!AC2</f>
        <v>26676.499999999996</v>
      </c>
      <c r="K29" s="529">
        <f>'Nx kits HR + IQVIA'!AD2</f>
        <v>35490.999999999993</v>
      </c>
      <c r="L29" s="529">
        <f>'Nx kits HR + IQVIA'!AE2</f>
        <v>39442</v>
      </c>
      <c r="M29" s="529">
        <f>'Nx kits HR + IQVIA'!AF2</f>
        <v>47435</v>
      </c>
      <c r="N29" s="529">
        <f>'Nx kits HR + IQVIA'!AG2</f>
        <v>49586</v>
      </c>
      <c r="O29" s="529">
        <f>'Nx kits HR + IQVIA'!AH2</f>
        <v>69053</v>
      </c>
      <c r="P29" s="529">
        <f>'Nx kits HR + IQVIA'!AI2</f>
        <v>141502</v>
      </c>
      <c r="Q29" s="529">
        <f>'Nx kits HR + IQVIA'!AJ2</f>
        <v>211278.68817204301</v>
      </c>
      <c r="R29" s="529">
        <f>'Nx kits HR + IQVIA'!AK2</f>
        <v>325817.17840212741</v>
      </c>
      <c r="S29" s="529">
        <f>'Nx kits HR + IQVIA'!AL2</f>
        <v>573797.06734074547</v>
      </c>
      <c r="T29" s="529">
        <f>'Nx kits HR + IQVIA'!AM2</f>
        <v>916335.75439076754</v>
      </c>
      <c r="U29" s="529">
        <f>'Nx kits HR + IQVIA'!AN2</f>
        <v>1500485.9526574665</v>
      </c>
      <c r="V29" s="529">
        <f>'Nx kits HR + IQVIA'!AO2</f>
        <v>1931149</v>
      </c>
      <c r="W29" s="529">
        <f>'Nx kits HR + IQVIA'!AP2</f>
        <v>2303624</v>
      </c>
      <c r="X29" s="537">
        <f>$X$30*LN(X32)+$X$31</f>
        <v>2467415.7808544044</v>
      </c>
      <c r="Y29" s="537">
        <f t="shared" ref="Y29:AI29" si="3">$X$30*LN(Y32)+$X$31</f>
        <v>2647408.9090465438</v>
      </c>
      <c r="Z29" s="537">
        <f t="shared" si="3"/>
        <v>2799590.9305417277</v>
      </c>
      <c r="AA29" s="537">
        <f t="shared" si="3"/>
        <v>2931416.9937510425</v>
      </c>
      <c r="AB29" s="537">
        <f t="shared" si="3"/>
        <v>3047695.8222590587</v>
      </c>
      <c r="AC29" s="537">
        <f t="shared" si="3"/>
        <v>3151710.7787714191</v>
      </c>
      <c r="AD29" s="537">
        <f t="shared" si="3"/>
        <v>3245803.7522694627</v>
      </c>
      <c r="AE29" s="537">
        <f t="shared" si="3"/>
        <v>3331703.9069635579</v>
      </c>
      <c r="AF29" s="537">
        <f t="shared" si="3"/>
        <v>3410724.3892173953</v>
      </c>
      <c r="AG29" s="537">
        <f t="shared" si="3"/>
        <v>3483885.9284587419</v>
      </c>
      <c r="AH29" s="531">
        <f t="shared" si="3"/>
        <v>3551997.6919839336</v>
      </c>
      <c r="AI29" s="253">
        <f t="shared" si="3"/>
        <v>3615711.9916680567</v>
      </c>
    </row>
    <row r="30" spans="1:35" x14ac:dyDescent="0.25">
      <c r="A30" s="258"/>
      <c r="V30" s="207"/>
      <c r="W30" s="538" t="s">
        <v>465</v>
      </c>
      <c r="X30" s="539">
        <v>987229</v>
      </c>
      <c r="Y30" s="539"/>
      <c r="Z30" s="539"/>
      <c r="AA30" s="539"/>
      <c r="AB30" s="539"/>
      <c r="AC30" s="539"/>
      <c r="AD30" s="539"/>
      <c r="AE30" s="539"/>
      <c r="AF30" s="539"/>
      <c r="AG30" s="539"/>
      <c r="AH30" s="539"/>
      <c r="AI30" s="268"/>
    </row>
    <row r="31" spans="1:35" x14ac:dyDescent="0.25">
      <c r="A31" s="258"/>
      <c r="V31" s="540"/>
      <c r="W31" s="541" t="s">
        <v>466</v>
      </c>
      <c r="X31" s="539">
        <v>878532</v>
      </c>
      <c r="Y31" s="539"/>
      <c r="Z31" s="539"/>
      <c r="AA31" s="539"/>
      <c r="AB31" s="539"/>
      <c r="AC31" s="539"/>
      <c r="AD31" s="539"/>
      <c r="AE31" s="539"/>
      <c r="AF31" s="539"/>
      <c r="AG31" s="539"/>
      <c r="AH31" s="539"/>
      <c r="AI31" s="268"/>
    </row>
    <row r="32" spans="1:35" ht="45.75" thickBot="1" x14ac:dyDescent="0.3">
      <c r="A32" s="259"/>
      <c r="B32" s="370"/>
      <c r="C32" s="370"/>
      <c r="D32" s="370"/>
      <c r="E32" s="254"/>
      <c r="F32" s="254"/>
      <c r="G32" s="254"/>
      <c r="H32" s="254"/>
      <c r="I32" s="254"/>
      <c r="J32" s="254"/>
      <c r="K32" s="254"/>
      <c r="L32" s="254"/>
      <c r="M32" s="254"/>
      <c r="N32" s="254"/>
      <c r="O32" s="254"/>
      <c r="P32" s="254"/>
      <c r="Q32" s="254"/>
      <c r="R32" s="254"/>
      <c r="S32" s="254"/>
      <c r="T32" s="254"/>
      <c r="U32" s="254"/>
      <c r="V32" s="370"/>
      <c r="W32" s="267" t="s">
        <v>470</v>
      </c>
      <c r="X32" s="269">
        <f>COUNT(T28:X28)</f>
        <v>5</v>
      </c>
      <c r="Y32" s="269">
        <f>X32+1</f>
        <v>6</v>
      </c>
      <c r="Z32" s="269">
        <f t="shared" ref="Z32:AI32" si="4">Y32+1</f>
        <v>7</v>
      </c>
      <c r="AA32" s="269">
        <f t="shared" si="4"/>
        <v>8</v>
      </c>
      <c r="AB32" s="269">
        <f t="shared" si="4"/>
        <v>9</v>
      </c>
      <c r="AC32" s="269">
        <f t="shared" si="4"/>
        <v>10</v>
      </c>
      <c r="AD32" s="269">
        <f t="shared" si="4"/>
        <v>11</v>
      </c>
      <c r="AE32" s="269">
        <f t="shared" si="4"/>
        <v>12</v>
      </c>
      <c r="AF32" s="269">
        <f t="shared" si="4"/>
        <v>13</v>
      </c>
      <c r="AG32" s="269">
        <f t="shared" si="4"/>
        <v>14</v>
      </c>
      <c r="AH32" s="269">
        <f t="shared" si="4"/>
        <v>15</v>
      </c>
      <c r="AI32" s="270">
        <f t="shared" si="4"/>
        <v>16</v>
      </c>
    </row>
    <row r="33" spans="1:35" x14ac:dyDescent="0.25">
      <c r="W33" s="246"/>
    </row>
    <row r="36" spans="1:35" ht="15.75" thickBot="1" x14ac:dyDescent="0.3"/>
    <row r="37" spans="1:35" x14ac:dyDescent="0.25">
      <c r="A37" s="257"/>
      <c r="B37" s="332">
        <v>1999</v>
      </c>
      <c r="C37" s="332">
        <v>2000</v>
      </c>
      <c r="D37" s="332">
        <v>2001</v>
      </c>
      <c r="E37" s="252">
        <v>2002</v>
      </c>
      <c r="F37" s="252">
        <v>2003</v>
      </c>
      <c r="G37" s="252">
        <v>2004</v>
      </c>
      <c r="H37" s="252">
        <v>2005</v>
      </c>
      <c r="I37" s="252">
        <v>2006</v>
      </c>
      <c r="J37" s="252">
        <v>2007</v>
      </c>
      <c r="K37" s="252">
        <v>2008</v>
      </c>
      <c r="L37" s="252">
        <v>2009</v>
      </c>
      <c r="M37" s="252">
        <v>2010</v>
      </c>
      <c r="N37" s="252">
        <v>2011</v>
      </c>
      <c r="O37" s="252">
        <v>2012</v>
      </c>
      <c r="P37" s="252">
        <v>2013</v>
      </c>
      <c r="Q37" s="252">
        <v>2014</v>
      </c>
      <c r="R37" s="252">
        <v>2015</v>
      </c>
      <c r="S37" s="252">
        <v>2016</v>
      </c>
      <c r="T37" s="252">
        <v>2017</v>
      </c>
      <c r="U37" s="252">
        <v>2018</v>
      </c>
      <c r="V37" s="252">
        <v>2019</v>
      </c>
      <c r="W37" s="252">
        <v>2020</v>
      </c>
      <c r="X37" s="260">
        <v>2021</v>
      </c>
      <c r="Y37" s="260">
        <v>2022</v>
      </c>
      <c r="Z37" s="260">
        <v>2023</v>
      </c>
      <c r="AA37" s="260">
        <v>2024</v>
      </c>
      <c r="AB37" s="260">
        <v>2025</v>
      </c>
      <c r="AC37" s="260">
        <v>2026</v>
      </c>
      <c r="AD37" s="260">
        <v>2027</v>
      </c>
      <c r="AE37" s="260">
        <v>2028</v>
      </c>
      <c r="AF37" s="260">
        <v>2029</v>
      </c>
      <c r="AG37" s="260">
        <v>2030</v>
      </c>
      <c r="AH37" s="260">
        <v>2031</v>
      </c>
      <c r="AI37" s="334">
        <v>2032</v>
      </c>
    </row>
    <row r="38" spans="1:35" ht="30.75" x14ac:dyDescent="0.3">
      <c r="A38" s="438" t="str">
        <f>'Opioid Rx Data IQVIA SH'!A5</f>
        <v xml:space="preserve">Patients receiving opioid prescription annual IQVIA </v>
      </c>
      <c r="B38" s="371">
        <f>'Opioid Rx Data IQVIA SH'!B5</f>
        <v>57913419.107661247</v>
      </c>
      <c r="C38" s="371">
        <f>'Opioid Rx Data IQVIA SH'!C5</f>
        <v>59397296.813064575</v>
      </c>
      <c r="D38" s="371">
        <f>'Opioid Rx Data IQVIA SH'!D5</f>
        <v>60881174.51846838</v>
      </c>
      <c r="E38" s="371">
        <f>'Opioid Rx Data IQVIA SH'!E5</f>
        <v>63323080.703804597</v>
      </c>
      <c r="F38" s="371">
        <f>'Opioid Rx Data IQVIA SH'!F5</f>
        <v>63804536.966740698</v>
      </c>
      <c r="G38" s="371">
        <f>'Opioid Rx Data IQVIA SH'!G5</f>
        <v>62682441.868738703</v>
      </c>
      <c r="H38" s="371">
        <f>'Opioid Rx Data IQVIA SH'!H5</f>
        <v>64233678.942893296</v>
      </c>
      <c r="I38" s="371">
        <f>'Opioid Rx Data IQVIA SH'!I5</f>
        <v>72484377.091890693</v>
      </c>
      <c r="J38" s="371">
        <f>'Opioid Rx Data IQVIA SH'!J5</f>
        <v>71731564.967042297</v>
      </c>
      <c r="K38" s="371">
        <f>'Opioid Rx Data IQVIA SH'!K5</f>
        <v>71966640.718910307</v>
      </c>
      <c r="L38" s="371">
        <f>'Opioid Rx Data IQVIA SH'!L5</f>
        <v>70242672.282253996</v>
      </c>
      <c r="M38" s="371">
        <f>'Opioid Rx Data IQVIA SH'!M5</f>
        <v>72196826.934210598</v>
      </c>
      <c r="N38" s="371">
        <f>'Opioid Rx Data IQVIA SH'!N5</f>
        <v>72354218.425861493</v>
      </c>
      <c r="O38" s="371">
        <f>'Opioid Rx Data IQVIA SH'!O5</f>
        <v>72620520.514616698</v>
      </c>
      <c r="P38" s="371">
        <f>'Opioid Rx Data IQVIA SH'!P5</f>
        <v>69782268.831006601</v>
      </c>
      <c r="Q38" s="371">
        <f>'Opioid Rx Data IQVIA SH'!Q5</f>
        <v>68451960.146435499</v>
      </c>
      <c r="R38" s="371">
        <f>'Opioid Rx Data IQVIA SH'!R5</f>
        <v>67098851.729051702</v>
      </c>
      <c r="S38" s="371">
        <f>'Opioid Rx Data IQVIA SH'!S5</f>
        <v>64662029.880932502</v>
      </c>
      <c r="T38" s="371">
        <f>'Opioid Rx Data IQVIA SH'!T5</f>
        <v>57543442.3193608</v>
      </c>
      <c r="U38" s="371">
        <f>'Opioid Rx Data IQVIA SH'!U5</f>
        <v>50847486.582352601</v>
      </c>
      <c r="V38" s="371">
        <f>'Opioid Rx Data IQVIA SH'!V5</f>
        <v>45900215</v>
      </c>
      <c r="W38" s="371">
        <f>'Opioid Rx Data IQVIA SH'!W5</f>
        <v>41264730</v>
      </c>
      <c r="X38" s="530">
        <f t="shared" ref="X38:AI38" si="5">$X$39*LN(X41)+$X$40</f>
        <v>38553145.345813751</v>
      </c>
      <c r="Y38" s="530">
        <f t="shared" si="5"/>
        <v>36629245.307223871</v>
      </c>
      <c r="Z38" s="530">
        <f t="shared" si="5"/>
        <v>35136952.501746923</v>
      </c>
      <c r="AA38" s="530">
        <f t="shared" si="5"/>
        <v>33917660.499425679</v>
      </c>
      <c r="AB38" s="530">
        <f t="shared" si="5"/>
        <v>32886763.800369028</v>
      </c>
      <c r="AC38" s="530">
        <f t="shared" si="5"/>
        <v>31993760.460835807</v>
      </c>
      <c r="AD38" s="530">
        <f t="shared" si="5"/>
        <v>31206075.691627495</v>
      </c>
      <c r="AE38" s="530">
        <f t="shared" si="5"/>
        <v>30501467.655358855</v>
      </c>
      <c r="AF38" s="530">
        <f t="shared" si="5"/>
        <v>29864072.15469107</v>
      </c>
      <c r="AG38" s="530">
        <f t="shared" si="5"/>
        <v>29282175.653037615</v>
      </c>
      <c r="AH38" s="542">
        <f t="shared" si="5"/>
        <v>28746882.761584446</v>
      </c>
      <c r="AI38" s="253">
        <f t="shared" si="5"/>
        <v>28251278.953980964</v>
      </c>
    </row>
    <row r="39" spans="1:35" x14ac:dyDescent="0.25">
      <c r="A39" s="258"/>
      <c r="W39" s="538" t="s">
        <v>465</v>
      </c>
      <c r="X39" s="525">
        <v>-6687591</v>
      </c>
      <c r="AI39" s="386"/>
    </row>
    <row r="40" spans="1:35" x14ac:dyDescent="0.25">
      <c r="A40" s="258"/>
      <c r="W40" s="541" t="s">
        <v>466</v>
      </c>
      <c r="X40" s="525">
        <v>45900215</v>
      </c>
      <c r="AI40" s="386"/>
    </row>
    <row r="41" spans="1:35" ht="45.75" thickBot="1" x14ac:dyDescent="0.3">
      <c r="A41" s="259"/>
      <c r="B41" s="370"/>
      <c r="C41" s="370"/>
      <c r="D41" s="370"/>
      <c r="E41" s="254"/>
      <c r="F41" s="254"/>
      <c r="G41" s="254"/>
      <c r="H41" s="254"/>
      <c r="I41" s="254"/>
      <c r="J41" s="254"/>
      <c r="K41" s="254"/>
      <c r="L41" s="254"/>
      <c r="M41" s="254"/>
      <c r="N41" s="254"/>
      <c r="O41" s="254"/>
      <c r="P41" s="254"/>
      <c r="Q41" s="254"/>
      <c r="R41" s="254"/>
      <c r="S41" s="254"/>
      <c r="T41" s="254"/>
      <c r="U41" s="254"/>
      <c r="V41" s="254"/>
      <c r="W41" s="267" t="s">
        <v>473</v>
      </c>
      <c r="X41" s="254">
        <v>3</v>
      </c>
      <c r="Y41" s="254">
        <v>4</v>
      </c>
      <c r="Z41" s="254">
        <v>5</v>
      </c>
      <c r="AA41" s="254">
        <v>6</v>
      </c>
      <c r="AB41" s="254">
        <v>7</v>
      </c>
      <c r="AC41" s="254">
        <v>8</v>
      </c>
      <c r="AD41" s="254">
        <v>9</v>
      </c>
      <c r="AE41" s="254">
        <v>10</v>
      </c>
      <c r="AF41" s="254">
        <v>11</v>
      </c>
      <c r="AG41" s="254">
        <v>12</v>
      </c>
      <c r="AH41" s="254">
        <v>13</v>
      </c>
      <c r="AI41" s="390">
        <v>14</v>
      </c>
    </row>
    <row r="44" spans="1:35" ht="15.75" thickBot="1" x14ac:dyDescent="0.3"/>
    <row r="45" spans="1:35" x14ac:dyDescent="0.25">
      <c r="A45" s="257"/>
      <c r="B45" s="332">
        <v>1999</v>
      </c>
      <c r="C45" s="332">
        <v>2000</v>
      </c>
      <c r="D45" s="332">
        <v>2001</v>
      </c>
      <c r="E45" s="252">
        <v>2002</v>
      </c>
      <c r="F45" s="252">
        <v>2003</v>
      </c>
      <c r="G45" s="252">
        <v>2004</v>
      </c>
      <c r="H45" s="252">
        <v>2005</v>
      </c>
      <c r="I45" s="252">
        <v>2006</v>
      </c>
      <c r="J45" s="252">
        <v>2007</v>
      </c>
      <c r="K45" s="252">
        <v>2008</v>
      </c>
      <c r="L45" s="252">
        <v>2009</v>
      </c>
      <c r="M45" s="252">
        <v>2010</v>
      </c>
      <c r="N45" s="252">
        <v>2011</v>
      </c>
      <c r="O45" s="252">
        <v>2012</v>
      </c>
      <c r="P45" s="252">
        <v>2013</v>
      </c>
      <c r="Q45" s="252">
        <v>2014</v>
      </c>
      <c r="R45" s="252">
        <v>2015</v>
      </c>
      <c r="S45" s="252">
        <v>2016</v>
      </c>
      <c r="T45" s="252">
        <v>2017</v>
      </c>
      <c r="U45" s="252">
        <v>2018</v>
      </c>
      <c r="V45" s="252">
        <v>2019</v>
      </c>
      <c r="W45" s="252">
        <v>2020</v>
      </c>
      <c r="X45" s="260">
        <v>2021</v>
      </c>
      <c r="Y45" s="260">
        <v>2022</v>
      </c>
      <c r="Z45" s="260">
        <v>2023</v>
      </c>
      <c r="AA45" s="260">
        <v>2024</v>
      </c>
      <c r="AB45" s="260">
        <v>2025</v>
      </c>
      <c r="AC45" s="260">
        <v>2026</v>
      </c>
      <c r="AD45" s="260">
        <v>2027</v>
      </c>
      <c r="AE45" s="260">
        <v>2028</v>
      </c>
      <c r="AF45" s="260">
        <v>2029</v>
      </c>
      <c r="AG45" s="260">
        <v>2030</v>
      </c>
      <c r="AH45" s="260">
        <v>2031</v>
      </c>
      <c r="AI45" s="334">
        <v>2032</v>
      </c>
    </row>
    <row r="46" spans="1:35" ht="45" customHeight="1" x14ac:dyDescent="0.3">
      <c r="A46" s="258" t="s">
        <v>474</v>
      </c>
      <c r="B46" s="528">
        <f>'Opioid Rx Data IQVIA SH'!B27</f>
        <v>0</v>
      </c>
      <c r="C46" s="528">
        <f>'Opioid Rx Data IQVIA SH'!C27</f>
        <v>0</v>
      </c>
      <c r="D46" s="528">
        <f>'Opioid Rx Data IQVIA SH'!D27</f>
        <v>0</v>
      </c>
      <c r="E46" s="423">
        <f>'Opioid Rx Data IQVIA SH'!E27</f>
        <v>0</v>
      </c>
      <c r="F46" s="423">
        <f>'Opioid Rx Data IQVIA SH'!F27</f>
        <v>0</v>
      </c>
      <c r="G46" s="423">
        <f>'Opioid Rx Data IQVIA SH'!G27</f>
        <v>0</v>
      </c>
      <c r="H46" s="423">
        <f>'Opioid Rx Data IQVIA SH'!H27</f>
        <v>0</v>
      </c>
      <c r="I46" s="423">
        <f>'Opioid Rx Data IQVIA SH'!I27</f>
        <v>0</v>
      </c>
      <c r="J46" s="423">
        <f>'Opioid Rx Data IQVIA SH'!J27</f>
        <v>0</v>
      </c>
      <c r="K46" s="423">
        <f>'Opioid Rx Data IQVIA SH'!K27</f>
        <v>0</v>
      </c>
      <c r="L46" s="423">
        <f>'Opioid Rx Data IQVIA SH'!L27</f>
        <v>1.2868150677794213E-4</v>
      </c>
      <c r="M46" s="423">
        <f>'Opioid Rx Data IQVIA SH'!M27</f>
        <v>3.0440046129983321E-2</v>
      </c>
      <c r="N46" s="423">
        <f>'Opioid Rx Data IQVIA SH'!N27</f>
        <v>0.10357235362782942</v>
      </c>
      <c r="O46" s="423">
        <f>'Opioid Rx Data IQVIA SH'!O27</f>
        <v>9.0387600251146713E-2</v>
      </c>
      <c r="P46" s="423">
        <f>'Opioid Rx Data IQVIA SH'!P27</f>
        <v>8.5121503878147764E-2</v>
      </c>
      <c r="Q46" s="423">
        <f>'Opioid Rx Data IQVIA SH'!Q27</f>
        <v>7.9822156563950336E-2</v>
      </c>
      <c r="R46" s="423">
        <f>'Opioid Rx Data IQVIA SH'!R27</f>
        <v>7.5699132306866743E-2</v>
      </c>
      <c r="S46" s="423">
        <f>'Opioid Rx Data IQVIA SH'!S27</f>
        <v>7.0648063363307451E-2</v>
      </c>
      <c r="T46" s="423">
        <f>'Opioid Rx Data IQVIA SH'!T27</f>
        <v>6.5304469508482815E-2</v>
      </c>
      <c r="U46" s="423">
        <f>'Opioid Rx Data IQVIA SH'!U27</f>
        <v>6.2178924571006849E-2</v>
      </c>
      <c r="V46" s="423">
        <f>'Opioid Rx Data IQVIA SH'!V27</f>
        <v>5.5745186078936089E-2</v>
      </c>
      <c r="W46" s="423">
        <f>'Opioid Rx Data IQVIA SH'!W27</f>
        <v>4.9272336100354815E-2</v>
      </c>
      <c r="X46" s="543">
        <f t="shared" ref="X46:AI46" si="6">$X$47*LN(X49)+$X$48</f>
        <v>4.5488961223839858E-2</v>
      </c>
      <c r="Y46" s="543">
        <f t="shared" si="6"/>
        <v>4.2802010667140226E-2</v>
      </c>
      <c r="Z46" s="543">
        <f t="shared" si="6"/>
        <v>4.0717849897865505E-2</v>
      </c>
      <c r="AA46" s="543">
        <f t="shared" si="6"/>
        <v>3.901496655740997E-2</v>
      </c>
      <c r="AB46" s="543">
        <f t="shared" si="6"/>
        <v>3.7575199207823373E-2</v>
      </c>
      <c r="AC46" s="543">
        <f t="shared" si="6"/>
        <v>3.6328016000710339E-2</v>
      </c>
      <c r="AD46" s="543">
        <f t="shared" si="6"/>
        <v>3.5227922447679708E-2</v>
      </c>
      <c r="AE46" s="543">
        <f t="shared" si="6"/>
        <v>3.424385523143561E-2</v>
      </c>
      <c r="AF46" s="543">
        <f t="shared" si="6"/>
        <v>3.3353658152063217E-2</v>
      </c>
      <c r="AG46" s="543">
        <f t="shared" si="6"/>
        <v>3.2540971890980083E-2</v>
      </c>
      <c r="AH46" s="544">
        <f t="shared" si="6"/>
        <v>3.1793373001309251E-2</v>
      </c>
      <c r="AI46" s="256">
        <f t="shared" si="6"/>
        <v>3.1101204541393489E-2</v>
      </c>
    </row>
    <row r="47" spans="1:35" x14ac:dyDescent="0.25">
      <c r="A47" s="258"/>
      <c r="W47" s="538" t="s">
        <v>465</v>
      </c>
      <c r="X47" s="533">
        <v>-9.3399999999999993E-3</v>
      </c>
      <c r="Y47" s="533"/>
      <c r="Z47" s="533"/>
      <c r="AA47" s="533"/>
      <c r="AB47" s="533"/>
      <c r="AC47" s="533"/>
      <c r="AD47" s="533"/>
      <c r="AE47" s="533"/>
      <c r="AF47" s="533"/>
      <c r="AG47" s="533"/>
      <c r="AH47" s="533"/>
      <c r="AI47" s="263"/>
    </row>
    <row r="48" spans="1:35" x14ac:dyDescent="0.25">
      <c r="A48" s="258"/>
      <c r="W48" s="541" t="s">
        <v>466</v>
      </c>
      <c r="X48" s="533">
        <v>5.5750000000000001E-2</v>
      </c>
      <c r="Y48" s="533"/>
      <c r="Z48" s="533"/>
      <c r="AA48" s="533"/>
      <c r="AB48" s="533"/>
      <c r="AC48" s="533"/>
      <c r="AD48" s="533"/>
      <c r="AE48" s="533"/>
      <c r="AF48" s="533"/>
      <c r="AG48" s="533"/>
      <c r="AH48" s="533"/>
      <c r="AI48" s="263"/>
    </row>
    <row r="49" spans="1:35" ht="45.75" thickBot="1" x14ac:dyDescent="0.3">
      <c r="A49" s="259"/>
      <c r="B49" s="370"/>
      <c r="C49" s="370"/>
      <c r="D49" s="370"/>
      <c r="E49" s="254"/>
      <c r="F49" s="254"/>
      <c r="G49" s="254"/>
      <c r="H49" s="254"/>
      <c r="I49" s="254"/>
      <c r="J49" s="254"/>
      <c r="K49" s="254"/>
      <c r="L49" s="254"/>
      <c r="M49" s="254"/>
      <c r="N49" s="254"/>
      <c r="O49" s="254"/>
      <c r="P49" s="254"/>
      <c r="Q49" s="254"/>
      <c r="R49" s="254"/>
      <c r="S49" s="254"/>
      <c r="T49" s="254"/>
      <c r="U49" s="254"/>
      <c r="V49" s="254"/>
      <c r="W49" s="267" t="s">
        <v>473</v>
      </c>
      <c r="X49" s="269">
        <f>COUNT(V45:X45)</f>
        <v>3</v>
      </c>
      <c r="Y49" s="269">
        <v>4</v>
      </c>
      <c r="Z49" s="269">
        <v>5</v>
      </c>
      <c r="AA49" s="269">
        <v>6</v>
      </c>
      <c r="AB49" s="269">
        <v>7</v>
      </c>
      <c r="AC49" s="269">
        <v>8</v>
      </c>
      <c r="AD49" s="269">
        <v>9</v>
      </c>
      <c r="AE49" s="269">
        <v>10</v>
      </c>
      <c r="AF49" s="269">
        <v>11</v>
      </c>
      <c r="AG49" s="269">
        <v>12</v>
      </c>
      <c r="AH49" s="269">
        <v>13</v>
      </c>
      <c r="AI49" s="270">
        <v>14</v>
      </c>
    </row>
    <row r="51" spans="1:35" ht="15.75" thickBot="1" x14ac:dyDescent="0.3"/>
    <row r="52" spans="1:35" x14ac:dyDescent="0.25">
      <c r="A52" s="257"/>
      <c r="B52" s="332">
        <v>1999</v>
      </c>
      <c r="C52" s="332">
        <v>2000</v>
      </c>
      <c r="D52" s="332">
        <v>2001</v>
      </c>
      <c r="E52" s="252">
        <v>2002</v>
      </c>
      <c r="F52" s="252">
        <v>2003</v>
      </c>
      <c r="G52" s="252">
        <v>2004</v>
      </c>
      <c r="H52" s="252">
        <v>2005</v>
      </c>
      <c r="I52" s="252">
        <v>2006</v>
      </c>
      <c r="J52" s="252">
        <v>2007</v>
      </c>
      <c r="K52" s="252">
        <v>2008</v>
      </c>
      <c r="L52" s="252">
        <v>2009</v>
      </c>
      <c r="M52" s="252">
        <v>2010</v>
      </c>
      <c r="N52" s="252">
        <v>2011</v>
      </c>
      <c r="O52" s="252">
        <v>2012</v>
      </c>
      <c r="P52" s="252">
        <v>2013</v>
      </c>
      <c r="Q52" s="252">
        <v>2014</v>
      </c>
      <c r="R52" s="252">
        <v>2015</v>
      </c>
      <c r="S52" s="252">
        <v>2016</v>
      </c>
      <c r="T52" s="252">
        <v>2017</v>
      </c>
      <c r="U52" s="252">
        <v>2018</v>
      </c>
      <c r="V52" s="252">
        <v>2019</v>
      </c>
      <c r="W52" s="373">
        <v>2020</v>
      </c>
      <c r="X52" s="262">
        <v>2021</v>
      </c>
      <c r="Y52" s="262">
        <v>2022</v>
      </c>
      <c r="Z52" s="262">
        <v>2023</v>
      </c>
      <c r="AA52" s="262">
        <v>2024</v>
      </c>
      <c r="AB52" s="262">
        <v>2025</v>
      </c>
      <c r="AC52" s="262">
        <v>2026</v>
      </c>
      <c r="AD52" s="262">
        <v>2027</v>
      </c>
      <c r="AE52" s="262">
        <v>2028</v>
      </c>
      <c r="AF52" s="262">
        <v>2029</v>
      </c>
      <c r="AG52" s="262">
        <v>2030</v>
      </c>
      <c r="AH52" s="262">
        <v>2031</v>
      </c>
      <c r="AI52" s="334">
        <v>2032</v>
      </c>
    </row>
    <row r="53" spans="1:35" ht="30.75" x14ac:dyDescent="0.3">
      <c r="A53" s="258" t="s">
        <v>5</v>
      </c>
      <c r="B53" s="545">
        <f>'Fentanyl NFLIS'!B41</f>
        <v>0</v>
      </c>
      <c r="C53" s="545">
        <f>'Fentanyl NFLIS'!C41</f>
        <v>0</v>
      </c>
      <c r="D53" s="545">
        <f>'Fentanyl NFLIS'!D41</f>
        <v>0</v>
      </c>
      <c r="E53" s="546">
        <f>'Fentanyl NFLIS'!E41</f>
        <v>0</v>
      </c>
      <c r="F53" s="546">
        <f>'Fentanyl NFLIS'!F41</f>
        <v>0</v>
      </c>
      <c r="G53" s="546">
        <f>'Fentanyl NFLIS'!G41</f>
        <v>0</v>
      </c>
      <c r="H53" s="546">
        <f>'Fentanyl NFLIS'!H41</f>
        <v>0</v>
      </c>
      <c r="I53" s="546">
        <f>'Fentanyl NFLIS'!I41</f>
        <v>0</v>
      </c>
      <c r="J53" s="546">
        <f>'Fentanyl NFLIS'!J41</f>
        <v>1.0755202244563947E-2</v>
      </c>
      <c r="K53" s="546">
        <f>'Fentanyl NFLIS'!K41</f>
        <v>5.6314948870589696E-3</v>
      </c>
      <c r="L53" s="546">
        <f>'Fentanyl NFLIS'!L41</f>
        <v>5.7798856433668722E-3</v>
      </c>
      <c r="M53" s="546">
        <f>'Fentanyl NFLIS'!M41</f>
        <v>6.1042036175059195E-3</v>
      </c>
      <c r="N53" s="546">
        <f>'Fentanyl NFLIS'!N41</f>
        <v>5.3814787439894363E-3</v>
      </c>
      <c r="O53" s="546">
        <f>'Fentanyl NFLIS'!O41</f>
        <v>0</v>
      </c>
      <c r="P53" s="546">
        <f>'Fentanyl NFLIS'!P41</f>
        <v>6.4060575890166902E-3</v>
      </c>
      <c r="Q53" s="546">
        <f>'Fentanyl NFLIS'!Q41</f>
        <v>2.7908994218554105E-2</v>
      </c>
      <c r="R53" s="546">
        <f>'Fentanyl NFLIS'!R41</f>
        <v>8.2317311449785074E-2</v>
      </c>
      <c r="S53" s="546">
        <f>'Fentanyl NFLIS'!S41</f>
        <v>0.18473601770824541</v>
      </c>
      <c r="T53" s="546">
        <f>'Fentanyl NFLIS'!T41</f>
        <v>0.32210083779712445</v>
      </c>
      <c r="U53" s="546">
        <f>'Fentanyl NFLIS'!U41</f>
        <v>0.40610436550278561</v>
      </c>
      <c r="V53" s="546">
        <f>'Fentanyl NFLIS'!V41</f>
        <v>0.47271690770965785</v>
      </c>
      <c r="W53" s="546">
        <f>'Fentanyl NFLIS'!W41</f>
        <v>0.56212888305519093</v>
      </c>
      <c r="X53" s="547">
        <f>($X$54*LN(X56))+$X$55</f>
        <v>0.61442098523818611</v>
      </c>
      <c r="Y53" s="547">
        <f t="shared" ref="Y53:AG53" si="7">($X$54*LN(Y56))+$X$55</f>
        <v>0.65153197258446593</v>
      </c>
      <c r="Z53" s="547">
        <f t="shared" si="7"/>
        <v>0.68031749070399894</v>
      </c>
      <c r="AA53" s="547">
        <f t="shared" si="7"/>
        <v>0.70383697153041913</v>
      </c>
      <c r="AB53" s="547">
        <f t="shared" si="7"/>
        <v>0.72372240922813535</v>
      </c>
      <c r="AC53" s="547">
        <f t="shared" si="7"/>
        <v>0.74094795887669884</v>
      </c>
      <c r="AD53" s="547">
        <f t="shared" si="7"/>
        <v>0.75614197047637233</v>
      </c>
      <c r="AE53" s="547">
        <f t="shared" si="7"/>
        <v>0.76973347699623196</v>
      </c>
      <c r="AF53" s="547">
        <f t="shared" si="7"/>
        <v>0.78202849019098986</v>
      </c>
      <c r="AG53" s="547">
        <f t="shared" si="7"/>
        <v>0.79325295782265204</v>
      </c>
      <c r="AH53" s="548">
        <f>($X$54*LN(AH56))+$X$55</f>
        <v>0.80357846711253833</v>
      </c>
      <c r="AI53" s="507">
        <f>($X$54*LN(AI56))+$X$55</f>
        <v>0.81313839552036837</v>
      </c>
    </row>
    <row r="54" spans="1:35" x14ac:dyDescent="0.25">
      <c r="A54" s="258"/>
      <c r="W54" s="538" t="s">
        <v>465</v>
      </c>
      <c r="X54" s="534">
        <v>0.129</v>
      </c>
      <c r="Y54" s="534"/>
      <c r="Z54" s="534"/>
      <c r="AA54" s="534"/>
      <c r="AB54" s="534"/>
      <c r="AC54" s="534"/>
      <c r="AD54" s="534"/>
      <c r="AE54" s="534"/>
      <c r="AF54" s="534"/>
      <c r="AG54" s="534"/>
      <c r="AH54" s="534"/>
      <c r="AI54" s="261"/>
    </row>
    <row r="55" spans="1:35" x14ac:dyDescent="0.25">
      <c r="A55" s="258"/>
      <c r="W55" s="541" t="s">
        <v>466</v>
      </c>
      <c r="X55" s="534">
        <v>0.47270000000000001</v>
      </c>
      <c r="Y55" s="534"/>
      <c r="Z55" s="534"/>
      <c r="AA55" s="534"/>
      <c r="AB55" s="534"/>
      <c r="AC55" s="534"/>
      <c r="AD55" s="534"/>
      <c r="AE55" s="534"/>
      <c r="AF55" s="534"/>
      <c r="AG55" s="534"/>
      <c r="AH55" s="534"/>
      <c r="AI55" s="261"/>
    </row>
    <row r="56" spans="1:35" ht="30.75" thickBot="1" x14ac:dyDescent="0.3">
      <c r="A56" s="259"/>
      <c r="B56" s="370"/>
      <c r="C56" s="370"/>
      <c r="D56" s="370"/>
      <c r="E56" s="254"/>
      <c r="F56" s="254"/>
      <c r="G56" s="254"/>
      <c r="H56" s="254"/>
      <c r="I56" s="254"/>
      <c r="J56" s="254"/>
      <c r="K56" s="254"/>
      <c r="L56" s="254"/>
      <c r="M56" s="254"/>
      <c r="N56" s="254"/>
      <c r="O56" s="254"/>
      <c r="P56" s="254"/>
      <c r="Q56" s="254"/>
      <c r="R56" s="254"/>
      <c r="S56" s="254"/>
      <c r="T56" s="254"/>
      <c r="U56" s="254"/>
      <c r="V56" s="254"/>
      <c r="W56" s="267" t="s">
        <v>475</v>
      </c>
      <c r="X56" s="269">
        <f>COUNT(V52:X52)</f>
        <v>3</v>
      </c>
      <c r="Y56" s="269">
        <v>4</v>
      </c>
      <c r="Z56" s="269">
        <v>5</v>
      </c>
      <c r="AA56" s="269">
        <v>6</v>
      </c>
      <c r="AB56" s="269">
        <v>7</v>
      </c>
      <c r="AC56" s="269">
        <v>8</v>
      </c>
      <c r="AD56" s="269">
        <v>9</v>
      </c>
      <c r="AE56" s="269">
        <v>10</v>
      </c>
      <c r="AF56" s="269">
        <v>11</v>
      </c>
      <c r="AG56" s="269">
        <v>12</v>
      </c>
      <c r="AH56" s="269">
        <v>13</v>
      </c>
      <c r="AI56" s="270">
        <v>14</v>
      </c>
    </row>
    <row r="57" spans="1:35" x14ac:dyDescent="0.25">
      <c r="W57" s="532"/>
      <c r="X57" s="534"/>
      <c r="Y57" s="534"/>
      <c r="Z57" s="534"/>
      <c r="AA57" s="534"/>
      <c r="AB57" s="534"/>
      <c r="AC57" s="534"/>
      <c r="AD57" s="534"/>
      <c r="AE57" s="534"/>
      <c r="AF57" s="534"/>
      <c r="AG57" s="534"/>
      <c r="AH57" s="534"/>
      <c r="AI57" s="534"/>
    </row>
    <row r="58" spans="1:35" ht="15.75" thickBot="1" x14ac:dyDescent="0.3"/>
    <row r="59" spans="1:35" ht="18.75" x14ac:dyDescent="0.3">
      <c r="A59" s="257"/>
      <c r="B59" s="509">
        <f t="shared" ref="B59:AH60" si="8">B52</f>
        <v>1999</v>
      </c>
      <c r="C59" s="509">
        <f t="shared" si="8"/>
        <v>2000</v>
      </c>
      <c r="D59" s="509">
        <f t="shared" si="8"/>
        <v>2001</v>
      </c>
      <c r="E59" s="252">
        <f t="shared" si="8"/>
        <v>2002</v>
      </c>
      <c r="F59" s="252">
        <f t="shared" si="8"/>
        <v>2003</v>
      </c>
      <c r="G59" s="252">
        <f t="shared" si="8"/>
        <v>2004</v>
      </c>
      <c r="H59" s="252">
        <f t="shared" si="8"/>
        <v>2005</v>
      </c>
      <c r="I59" s="252">
        <f t="shared" si="8"/>
        <v>2006</v>
      </c>
      <c r="J59" s="252">
        <f t="shared" si="8"/>
        <v>2007</v>
      </c>
      <c r="K59" s="252">
        <f t="shared" si="8"/>
        <v>2008</v>
      </c>
      <c r="L59" s="252">
        <f t="shared" si="8"/>
        <v>2009</v>
      </c>
      <c r="M59" s="252">
        <f t="shared" si="8"/>
        <v>2010</v>
      </c>
      <c r="N59" s="252">
        <f t="shared" si="8"/>
        <v>2011</v>
      </c>
      <c r="O59" s="252">
        <f t="shared" si="8"/>
        <v>2012</v>
      </c>
      <c r="P59" s="252">
        <f t="shared" si="8"/>
        <v>2013</v>
      </c>
      <c r="Q59" s="252">
        <f t="shared" si="8"/>
        <v>2014</v>
      </c>
      <c r="R59" s="252">
        <f t="shared" si="8"/>
        <v>2015</v>
      </c>
      <c r="S59" s="252">
        <f t="shared" si="8"/>
        <v>2016</v>
      </c>
      <c r="T59" s="252">
        <f t="shared" si="8"/>
        <v>2017</v>
      </c>
      <c r="U59" s="252">
        <f t="shared" si="8"/>
        <v>2018</v>
      </c>
      <c r="V59" s="252">
        <f t="shared" si="8"/>
        <v>2019</v>
      </c>
      <c r="W59" s="252">
        <f t="shared" si="8"/>
        <v>2020</v>
      </c>
      <c r="X59" s="252">
        <f t="shared" si="8"/>
        <v>2021</v>
      </c>
      <c r="Y59" s="252">
        <f t="shared" si="8"/>
        <v>2022</v>
      </c>
      <c r="Z59" s="252">
        <f t="shared" si="8"/>
        <v>2023</v>
      </c>
      <c r="AA59" s="252">
        <f t="shared" si="8"/>
        <v>2024</v>
      </c>
      <c r="AB59" s="252">
        <f t="shared" si="8"/>
        <v>2025</v>
      </c>
      <c r="AC59" s="252">
        <f t="shared" si="8"/>
        <v>2026</v>
      </c>
      <c r="AD59" s="252">
        <f t="shared" si="8"/>
        <v>2027</v>
      </c>
      <c r="AE59" s="511">
        <f t="shared" si="8"/>
        <v>2028</v>
      </c>
      <c r="AF59" s="511">
        <f t="shared" si="8"/>
        <v>2029</v>
      </c>
      <c r="AG59" s="252">
        <f t="shared" si="8"/>
        <v>2030</v>
      </c>
      <c r="AH59" s="252">
        <f t="shared" si="8"/>
        <v>2031</v>
      </c>
      <c r="AI59" s="334">
        <v>2032</v>
      </c>
    </row>
    <row r="60" spans="1:35" ht="44.65" customHeight="1" x14ac:dyDescent="0.3">
      <c r="A60" s="258" t="s">
        <v>476</v>
      </c>
      <c r="B60" s="536">
        <f t="shared" si="8"/>
        <v>0</v>
      </c>
      <c r="C60" s="536">
        <f t="shared" si="8"/>
        <v>0</v>
      </c>
      <c r="D60" s="536">
        <f t="shared" si="8"/>
        <v>0</v>
      </c>
      <c r="E60" s="238">
        <f t="shared" si="8"/>
        <v>0</v>
      </c>
      <c r="F60" s="238">
        <f t="shared" si="8"/>
        <v>0</v>
      </c>
      <c r="G60" s="238">
        <f t="shared" si="8"/>
        <v>0</v>
      </c>
      <c r="H60" s="238">
        <f t="shared" si="8"/>
        <v>0</v>
      </c>
      <c r="I60" s="238">
        <f t="shared" si="8"/>
        <v>0</v>
      </c>
      <c r="J60" s="238">
        <f t="shared" si="8"/>
        <v>1.0755202244563947E-2</v>
      </c>
      <c r="K60" s="238">
        <f t="shared" si="8"/>
        <v>5.6314948870589696E-3</v>
      </c>
      <c r="L60" s="238">
        <f t="shared" si="8"/>
        <v>5.7798856433668722E-3</v>
      </c>
      <c r="M60" s="238">
        <f t="shared" si="8"/>
        <v>6.1042036175059195E-3</v>
      </c>
      <c r="N60" s="238">
        <f t="shared" si="8"/>
        <v>5.3814787439894363E-3</v>
      </c>
      <c r="O60" s="238">
        <f t="shared" si="8"/>
        <v>0</v>
      </c>
      <c r="P60" s="238">
        <f t="shared" si="8"/>
        <v>6.4060575890166902E-3</v>
      </c>
      <c r="Q60" s="238">
        <f t="shared" si="8"/>
        <v>2.7908994218554105E-2</v>
      </c>
      <c r="R60" s="238">
        <f t="shared" si="8"/>
        <v>8.2317311449785074E-2</v>
      </c>
      <c r="S60" s="238">
        <f t="shared" si="8"/>
        <v>0.18473601770824541</v>
      </c>
      <c r="T60" s="238">
        <f t="shared" si="8"/>
        <v>0.32210083779712445</v>
      </c>
      <c r="U60" s="238">
        <f t="shared" si="8"/>
        <v>0.40610436550278561</v>
      </c>
      <c r="V60" s="238">
        <f t="shared" si="8"/>
        <v>0.47271690770965785</v>
      </c>
      <c r="W60" s="238">
        <f>'Fentanyl NFLIS'!W41</f>
        <v>0.56212888305519093</v>
      </c>
      <c r="X60" s="238">
        <f>'Fentanyl NFLIS'!X41</f>
        <v>0.69757016049493414</v>
      </c>
      <c r="Y60" s="549">
        <f>$Y$61*LN(Y63) + $Y$62</f>
        <v>0.77676884120574874</v>
      </c>
      <c r="Z60" s="549">
        <f t="shared" ref="Z60:AI60" si="9">$Y$61*LN(Z63) + $Y$62</f>
        <v>0.83298191816282663</v>
      </c>
      <c r="AA60" s="549">
        <f t="shared" si="9"/>
        <v>0.87658416808962325</v>
      </c>
      <c r="AB60" s="549">
        <f t="shared" si="9"/>
        <v>0.91220980028716192</v>
      </c>
      <c r="AC60" s="549">
        <f t="shared" si="9"/>
        <v>0.94233084312540827</v>
      </c>
      <c r="AD60" s="549">
        <f t="shared" si="9"/>
        <v>0.96842287724423992</v>
      </c>
      <c r="AE60" s="550">
        <f t="shared" si="9"/>
        <v>0.99143768241149732</v>
      </c>
      <c r="AF60" s="550">
        <f t="shared" si="9"/>
        <v>1.0120251271710365</v>
      </c>
      <c r="AG60" s="549">
        <f t="shared" si="9"/>
        <v>1.0306487363048016</v>
      </c>
      <c r="AH60" s="549">
        <f t="shared" si="9"/>
        <v>1.0476507593685753</v>
      </c>
      <c r="AI60" s="510">
        <f t="shared" si="9"/>
        <v>1.0632911044479842</v>
      </c>
    </row>
    <row r="61" spans="1:35" ht="18.75" x14ac:dyDescent="0.3">
      <c r="A61" s="258"/>
      <c r="X61" s="533" t="str">
        <f>W54</f>
        <v>slope</v>
      </c>
      <c r="Y61" s="533">
        <v>0.19539999999999999</v>
      </c>
      <c r="Z61" s="533"/>
      <c r="AA61" s="533"/>
      <c r="AB61" s="533"/>
      <c r="AC61" s="533"/>
      <c r="AD61" s="533"/>
      <c r="AE61" s="551"/>
      <c r="AF61" s="551"/>
      <c r="AG61" s="533"/>
      <c r="AH61" s="533"/>
      <c r="AI61" s="263"/>
    </row>
    <row r="62" spans="1:35" x14ac:dyDescent="0.25">
      <c r="A62" s="258"/>
      <c r="X62" s="533" t="str">
        <f>W55</f>
        <v>intercept</v>
      </c>
      <c r="Y62" s="533">
        <v>0.56210000000000004</v>
      </c>
      <c r="Z62" s="533"/>
      <c r="AA62" s="533"/>
      <c r="AB62" s="533"/>
      <c r="AC62" s="533"/>
      <c r="AD62" s="533"/>
      <c r="AE62" s="533"/>
      <c r="AF62" s="533"/>
      <c r="AG62" s="533"/>
      <c r="AH62" s="533"/>
      <c r="AI62" s="263"/>
    </row>
    <row r="63" spans="1:35" ht="30.75" thickBot="1" x14ac:dyDescent="0.3">
      <c r="A63" s="259"/>
      <c r="B63" s="370"/>
      <c r="C63" s="370"/>
      <c r="D63" s="370"/>
      <c r="E63" s="254"/>
      <c r="F63" s="254"/>
      <c r="G63" s="254"/>
      <c r="H63" s="254"/>
      <c r="I63" s="254"/>
      <c r="J63" s="254"/>
      <c r="K63" s="254"/>
      <c r="L63" s="254"/>
      <c r="M63" s="254"/>
      <c r="N63" s="254"/>
      <c r="O63" s="254"/>
      <c r="P63" s="254"/>
      <c r="Q63" s="254"/>
      <c r="R63" s="254"/>
      <c r="S63" s="254"/>
      <c r="T63" s="254"/>
      <c r="U63" s="254"/>
      <c r="V63" s="254"/>
      <c r="W63" s="254"/>
      <c r="X63" s="267" t="s">
        <v>477</v>
      </c>
      <c r="Y63" s="264">
        <f>COUNT(W59:Y59)</f>
        <v>3</v>
      </c>
      <c r="Z63" s="264">
        <v>4</v>
      </c>
      <c r="AA63" s="264">
        <v>5</v>
      </c>
      <c r="AB63" s="264">
        <v>6</v>
      </c>
      <c r="AC63" s="264">
        <v>7</v>
      </c>
      <c r="AD63" s="264">
        <v>8</v>
      </c>
      <c r="AE63" s="264">
        <v>9</v>
      </c>
      <c r="AF63" s="264">
        <v>10</v>
      </c>
      <c r="AG63" s="264">
        <v>11</v>
      </c>
      <c r="AH63" s="264">
        <v>12</v>
      </c>
      <c r="AI63" s="265">
        <v>13</v>
      </c>
    </row>
    <row r="64" spans="1:35" x14ac:dyDescent="0.25">
      <c r="A64" s="525"/>
      <c r="B64" s="525"/>
      <c r="C64" s="525"/>
      <c r="D64" s="525"/>
    </row>
    <row r="65" spans="1:35" ht="15.75" thickBot="1" x14ac:dyDescent="0.3">
      <c r="A65" s="525"/>
      <c r="B65" s="525"/>
      <c r="C65" s="525"/>
      <c r="D65" s="525"/>
    </row>
    <row r="66" spans="1:35" x14ac:dyDescent="0.25">
      <c r="A66" s="257"/>
      <c r="B66" s="509">
        <v>1999</v>
      </c>
      <c r="C66" s="509">
        <v>2000</v>
      </c>
      <c r="D66" s="509">
        <v>2001</v>
      </c>
      <c r="E66" s="252">
        <v>2002</v>
      </c>
      <c r="F66" s="252">
        <v>2003</v>
      </c>
      <c r="G66" s="252">
        <v>2004</v>
      </c>
      <c r="H66" s="252">
        <v>2005</v>
      </c>
      <c r="I66" s="252">
        <v>2006</v>
      </c>
      <c r="J66" s="252">
        <v>2007</v>
      </c>
      <c r="K66" s="252">
        <v>2008</v>
      </c>
      <c r="L66" s="252">
        <v>2009</v>
      </c>
      <c r="M66" s="252">
        <v>2010</v>
      </c>
      <c r="N66" s="252">
        <v>2011</v>
      </c>
      <c r="O66" s="252">
        <v>2012</v>
      </c>
      <c r="P66" s="252">
        <v>2013</v>
      </c>
      <c r="Q66" s="252">
        <v>2014</v>
      </c>
      <c r="R66" s="252">
        <v>2015</v>
      </c>
      <c r="S66" s="252">
        <v>2016</v>
      </c>
      <c r="T66" s="252">
        <v>2017</v>
      </c>
      <c r="U66" s="252">
        <v>2018</v>
      </c>
      <c r="V66" s="252">
        <v>2019</v>
      </c>
      <c r="W66" s="252">
        <v>2020</v>
      </c>
      <c r="X66" s="513">
        <v>2021</v>
      </c>
      <c r="Y66" s="514">
        <v>2022</v>
      </c>
      <c r="Z66" s="514">
        <v>2023</v>
      </c>
      <c r="AA66" s="514">
        <v>2024</v>
      </c>
      <c r="AB66" s="514">
        <v>2025</v>
      </c>
      <c r="AC66" s="514">
        <v>2026</v>
      </c>
      <c r="AD66" s="514">
        <v>2027</v>
      </c>
      <c r="AE66" s="514">
        <v>2028</v>
      </c>
      <c r="AF66" s="514">
        <v>2029</v>
      </c>
      <c r="AG66" s="514">
        <v>2030</v>
      </c>
      <c r="AH66" s="514">
        <v>2031</v>
      </c>
      <c r="AI66" s="515">
        <v>2032</v>
      </c>
    </row>
    <row r="67" spans="1:35" ht="30.75" x14ac:dyDescent="0.3">
      <c r="A67" s="258" t="s">
        <v>518</v>
      </c>
      <c r="B67" s="238">
        <v>2.706049962167663</v>
      </c>
      <c r="C67" s="238">
        <v>2.8280080628586188</v>
      </c>
      <c r="D67" s="238">
        <v>3.0176137202080331</v>
      </c>
      <c r="E67" s="238">
        <v>2.9633969794267752</v>
      </c>
      <c r="F67" s="238">
        <v>3.0554743004478548</v>
      </c>
      <c r="G67" s="238">
        <v>3.254940043814504</v>
      </c>
      <c r="H67" s="238">
        <v>3.2995846415774399</v>
      </c>
      <c r="I67" s="238">
        <v>3.096649683512485</v>
      </c>
      <c r="J67" s="238">
        <v>3.312119205312785</v>
      </c>
      <c r="K67" s="238">
        <v>3.4316631150210708</v>
      </c>
      <c r="L67" s="238">
        <v>3.6024889258199062</v>
      </c>
      <c r="M67" s="238">
        <v>3.600353832739235</v>
      </c>
      <c r="N67" s="238">
        <v>3.60208361597063</v>
      </c>
      <c r="O67" s="238">
        <v>3.6225009680459461</v>
      </c>
      <c r="P67" s="238">
        <v>3.6387371279628149</v>
      </c>
      <c r="Q67" s="238">
        <v>3.5985283693848942</v>
      </c>
      <c r="R67" s="238">
        <v>3.4149696629683022</v>
      </c>
      <c r="S67" s="238">
        <v>3.3607663527039389</v>
      </c>
      <c r="T67" s="238">
        <v>3.3675884953983641</v>
      </c>
      <c r="U67" s="238">
        <v>3.3406557271816451</v>
      </c>
      <c r="V67" s="238">
        <v>3.3694461045673512</v>
      </c>
      <c r="W67" s="238">
        <v>3.4938976454661228</v>
      </c>
      <c r="X67" s="549">
        <f>$X$68*LN(X70) + $X$69</f>
        <v>3.3383849650811745</v>
      </c>
      <c r="Y67" s="549">
        <f t="shared" ref="Y67:AI67" si="10">$X$68*LN(Y70) + $X$69</f>
        <v>3.3339784291245653</v>
      </c>
      <c r="Z67" s="549">
        <f t="shared" si="10"/>
        <v>3.330091588947905</v>
      </c>
      <c r="AA67" s="549">
        <f t="shared" si="10"/>
        <v>3.3266146919311965</v>
      </c>
      <c r="AB67" s="549">
        <f t="shared" si="10"/>
        <v>3.3234694559976536</v>
      </c>
      <c r="AC67" s="549">
        <f t="shared" si="10"/>
        <v>3.3205980805569961</v>
      </c>
      <c r="AD67" s="549">
        <f t="shared" si="10"/>
        <v>3.3179566712037696</v>
      </c>
      <c r="AE67" s="549">
        <f t="shared" si="10"/>
        <v>3.3155111081226964</v>
      </c>
      <c r="AF67" s="549">
        <f t="shared" si="10"/>
        <v>3.3132343433636273</v>
      </c>
      <c r="AG67" s="549">
        <f t="shared" si="10"/>
        <v>3.3111045721660872</v>
      </c>
      <c r="AH67" s="549">
        <f t="shared" si="10"/>
        <v>3.3091039596461451</v>
      </c>
      <c r="AI67" s="508">
        <f t="shared" si="10"/>
        <v>3.3072177319894265</v>
      </c>
    </row>
    <row r="68" spans="1:35" x14ac:dyDescent="0.25">
      <c r="A68" s="258"/>
      <c r="B68" s="238"/>
      <c r="C68" s="238"/>
      <c r="D68" s="238"/>
      <c r="E68" s="238"/>
      <c r="F68" s="238"/>
      <c r="G68" s="238"/>
      <c r="H68" s="238"/>
      <c r="I68" s="238"/>
      <c r="J68" s="238"/>
      <c r="K68" s="238"/>
      <c r="L68" s="238"/>
      <c r="M68" s="238"/>
      <c r="N68" s="238"/>
      <c r="O68" s="238"/>
      <c r="P68" s="238"/>
      <c r="Q68" s="238"/>
      <c r="R68" s="238"/>
      <c r="S68" s="238"/>
      <c r="T68" s="238"/>
      <c r="U68" s="238"/>
      <c r="V68" s="238"/>
      <c r="W68" s="533" t="s">
        <v>465</v>
      </c>
      <c r="X68" s="533">
        <v>-3.3000000000000002E-2</v>
      </c>
      <c r="Y68" s="533"/>
      <c r="Z68" s="533"/>
      <c r="AA68" s="533"/>
      <c r="AB68" s="533"/>
      <c r="AC68" s="533"/>
      <c r="AD68" s="533"/>
      <c r="AE68" s="533"/>
      <c r="AF68" s="533"/>
      <c r="AG68" s="533"/>
      <c r="AH68" s="533"/>
      <c r="AI68" s="263"/>
    </row>
    <row r="69" spans="1:35" x14ac:dyDescent="0.25">
      <c r="A69" s="258"/>
      <c r="B69" s="238"/>
      <c r="C69" s="238"/>
      <c r="D69" s="238"/>
      <c r="E69" s="238"/>
      <c r="F69" s="238"/>
      <c r="G69" s="238"/>
      <c r="H69" s="238"/>
      <c r="I69" s="238"/>
      <c r="J69" s="238"/>
      <c r="K69" s="238"/>
      <c r="L69" s="238"/>
      <c r="M69" s="238"/>
      <c r="N69" s="238"/>
      <c r="O69" s="238"/>
      <c r="P69" s="238"/>
      <c r="Q69" s="238"/>
      <c r="R69" s="238"/>
      <c r="S69" s="238"/>
      <c r="T69" s="238"/>
      <c r="U69" s="238"/>
      <c r="V69" s="238"/>
      <c r="W69" s="533" t="s">
        <v>466</v>
      </c>
      <c r="X69" s="533">
        <v>3.4026000000000001</v>
      </c>
      <c r="Y69" s="533"/>
      <c r="Z69" s="533"/>
      <c r="AA69" s="533"/>
      <c r="AB69" s="533"/>
      <c r="AC69" s="533"/>
      <c r="AD69" s="533"/>
      <c r="AE69" s="533"/>
      <c r="AF69" s="533"/>
      <c r="AG69" s="533"/>
      <c r="AH69" s="533"/>
      <c r="AI69" s="263"/>
    </row>
    <row r="70" spans="1:35" ht="30.75" thickBot="1" x14ac:dyDescent="0.3">
      <c r="A70" s="259"/>
      <c r="B70" s="512"/>
      <c r="C70" s="512"/>
      <c r="D70" s="512"/>
      <c r="E70" s="512"/>
      <c r="F70" s="512"/>
      <c r="G70" s="512"/>
      <c r="H70" s="512"/>
      <c r="I70" s="512"/>
      <c r="J70" s="512"/>
      <c r="K70" s="512"/>
      <c r="L70" s="512"/>
      <c r="M70" s="512"/>
      <c r="N70" s="512"/>
      <c r="O70" s="512"/>
      <c r="P70" s="512"/>
      <c r="Q70" s="512"/>
      <c r="R70" s="512"/>
      <c r="S70" s="512"/>
      <c r="T70" s="512"/>
      <c r="U70" s="512"/>
      <c r="V70" s="512"/>
      <c r="W70" s="267" t="s">
        <v>482</v>
      </c>
      <c r="X70" s="264">
        <f>COUNT(R66:X66)</f>
        <v>7</v>
      </c>
      <c r="Y70" s="264">
        <f>X70+1</f>
        <v>8</v>
      </c>
      <c r="Z70" s="264">
        <f t="shared" ref="Z70:AI70" si="11">Y70+1</f>
        <v>9</v>
      </c>
      <c r="AA70" s="264">
        <f t="shared" si="11"/>
        <v>10</v>
      </c>
      <c r="AB70" s="264">
        <f t="shared" si="11"/>
        <v>11</v>
      </c>
      <c r="AC70" s="264">
        <f t="shared" si="11"/>
        <v>12</v>
      </c>
      <c r="AD70" s="264">
        <f t="shared" si="11"/>
        <v>13</v>
      </c>
      <c r="AE70" s="264">
        <f t="shared" si="11"/>
        <v>14</v>
      </c>
      <c r="AF70" s="264">
        <f t="shared" si="11"/>
        <v>15</v>
      </c>
      <c r="AG70" s="264">
        <f t="shared" si="11"/>
        <v>16</v>
      </c>
      <c r="AH70" s="264">
        <f t="shared" si="11"/>
        <v>17</v>
      </c>
      <c r="AI70" s="265">
        <f t="shared" si="11"/>
        <v>18</v>
      </c>
    </row>
    <row r="71" spans="1:35" ht="15.75" thickBot="1" x14ac:dyDescent="0.3">
      <c r="B71" s="238"/>
      <c r="C71" s="238"/>
      <c r="D71" s="238"/>
      <c r="E71" s="238"/>
      <c r="F71" s="238"/>
      <c r="G71" s="238"/>
      <c r="H71" s="238"/>
      <c r="I71" s="238"/>
      <c r="J71" s="238"/>
      <c r="K71" s="238"/>
      <c r="L71" s="238"/>
      <c r="M71" s="238"/>
      <c r="N71" s="238"/>
      <c r="O71" s="238"/>
      <c r="P71" s="238"/>
      <c r="Q71" s="238"/>
      <c r="R71" s="238"/>
      <c r="S71" s="238"/>
      <c r="T71" s="238"/>
      <c r="U71" s="238"/>
      <c r="V71" s="238"/>
      <c r="W71" s="238"/>
    </row>
    <row r="72" spans="1:35" x14ac:dyDescent="0.25">
      <c r="A72" s="257"/>
      <c r="B72" s="509">
        <v>1999</v>
      </c>
      <c r="C72" s="509">
        <v>2000</v>
      </c>
      <c r="D72" s="509">
        <v>2001</v>
      </c>
      <c r="E72" s="252">
        <v>2002</v>
      </c>
      <c r="F72" s="252">
        <v>2003</v>
      </c>
      <c r="G72" s="252">
        <v>2004</v>
      </c>
      <c r="H72" s="252">
        <v>2005</v>
      </c>
      <c r="I72" s="252">
        <v>2006</v>
      </c>
      <c r="J72" s="252">
        <v>2007</v>
      </c>
      <c r="K72" s="252">
        <v>2008</v>
      </c>
      <c r="L72" s="252">
        <v>2009</v>
      </c>
      <c r="M72" s="252">
        <v>2010</v>
      </c>
      <c r="N72" s="252">
        <v>2011</v>
      </c>
      <c r="O72" s="252">
        <v>2012</v>
      </c>
      <c r="P72" s="252">
        <v>2013</v>
      </c>
      <c r="Q72" s="252">
        <v>2014</v>
      </c>
      <c r="R72" s="252">
        <v>2015</v>
      </c>
      <c r="S72" s="252">
        <v>2016</v>
      </c>
      <c r="T72" s="252">
        <v>2017</v>
      </c>
      <c r="U72" s="252">
        <v>2018</v>
      </c>
      <c r="V72" s="252">
        <v>2019</v>
      </c>
      <c r="W72" s="252">
        <v>2020</v>
      </c>
      <c r="X72" s="513">
        <v>2021</v>
      </c>
      <c r="Y72" s="514">
        <v>2022</v>
      </c>
      <c r="Z72" s="514">
        <v>2023</v>
      </c>
      <c r="AA72" s="514">
        <v>2024</v>
      </c>
      <c r="AB72" s="514">
        <v>2025</v>
      </c>
      <c r="AC72" s="514">
        <v>2026</v>
      </c>
      <c r="AD72" s="514">
        <v>2027</v>
      </c>
      <c r="AE72" s="514">
        <v>2028</v>
      </c>
      <c r="AF72" s="514">
        <v>2029</v>
      </c>
      <c r="AG72" s="514">
        <v>2030</v>
      </c>
      <c r="AH72" s="514">
        <v>2031</v>
      </c>
      <c r="AI72" s="515">
        <v>2032</v>
      </c>
    </row>
    <row r="73" spans="1:35" ht="30.75" x14ac:dyDescent="0.3">
      <c r="A73" s="258" t="s">
        <v>519</v>
      </c>
      <c r="B73" s="238">
        <v>23.6306097595049</v>
      </c>
      <c r="C73" s="238">
        <v>22.91583686578787</v>
      </c>
      <c r="D73" s="238">
        <v>21.854959068275061</v>
      </c>
      <c r="E73" s="238">
        <v>21.911962311940972</v>
      </c>
      <c r="F73" s="238">
        <v>22.230348884672829</v>
      </c>
      <c r="G73" s="238">
        <v>22.196997745031851</v>
      </c>
      <c r="H73" s="238">
        <v>21.779595165945739</v>
      </c>
      <c r="I73" s="238">
        <v>22.152505723260258</v>
      </c>
      <c r="J73" s="238">
        <v>21.500454213330421</v>
      </c>
      <c r="K73" s="238">
        <v>21.794385570047361</v>
      </c>
      <c r="L73" s="238">
        <v>21.78190674227038</v>
      </c>
      <c r="M73" s="238">
        <v>21.839555278925371</v>
      </c>
      <c r="N73" s="238">
        <v>22.01802458846354</v>
      </c>
      <c r="O73" s="238">
        <v>21.815661846974571</v>
      </c>
      <c r="P73" s="238">
        <v>22.314901827984539</v>
      </c>
      <c r="Q73" s="238">
        <v>22.201949669070491</v>
      </c>
      <c r="R73" s="238">
        <v>23.357406123832838</v>
      </c>
      <c r="S73" s="238">
        <v>22.88416666970787</v>
      </c>
      <c r="T73" s="238">
        <v>22.539302586412841</v>
      </c>
      <c r="U73" s="238">
        <v>22.820446988435801</v>
      </c>
      <c r="V73" s="238">
        <v>23.783843887066809</v>
      </c>
      <c r="W73" s="238">
        <v>24.447631582385331</v>
      </c>
      <c r="X73" s="552">
        <f>$X$74*LN(X76)+$X$75</f>
        <v>24.844654893515695</v>
      </c>
      <c r="Y73" s="552">
        <f t="shared" ref="Y73:AI73" si="12">$X$74*LN(Y76)+$X$75</f>
        <v>25.172966000564291</v>
      </c>
      <c r="Z73" s="552">
        <f t="shared" si="12"/>
        <v>25.441215707075237</v>
      </c>
      <c r="AA73" s="552">
        <f t="shared" si="12"/>
        <v>25.668017602305081</v>
      </c>
      <c r="AB73" s="552">
        <f t="shared" si="12"/>
        <v>25.864482340273543</v>
      </c>
      <c r="AC73" s="552">
        <f t="shared" si="12"/>
        <v>26.037776520634779</v>
      </c>
      <c r="AD73" s="552">
        <f t="shared" si="12"/>
        <v>26.192793447322138</v>
      </c>
      <c r="AE73" s="552">
        <f t="shared" si="12"/>
        <v>26.333023314868242</v>
      </c>
      <c r="AF73" s="552">
        <f t="shared" si="12"/>
        <v>26.461043153833085</v>
      </c>
      <c r="AG73" s="552">
        <f t="shared" si="12"/>
        <v>26.578809989633157</v>
      </c>
      <c r="AH73" s="552">
        <f t="shared" si="12"/>
        <v>26.687845049062929</v>
      </c>
      <c r="AI73" s="508">
        <f t="shared" si="12"/>
        <v>26.78935426088168</v>
      </c>
    </row>
    <row r="74" spans="1:35" x14ac:dyDescent="0.25">
      <c r="A74" s="258"/>
      <c r="B74" s="238"/>
      <c r="C74" s="238"/>
      <c r="D74" s="238"/>
      <c r="E74" s="238"/>
      <c r="F74" s="238"/>
      <c r="G74" s="238"/>
      <c r="H74" s="238"/>
      <c r="I74" s="238"/>
      <c r="J74" s="238"/>
      <c r="K74" s="238"/>
      <c r="L74" s="238"/>
      <c r="M74" s="238"/>
      <c r="N74" s="238"/>
      <c r="O74" s="238"/>
      <c r="P74" s="238"/>
      <c r="Q74" s="238"/>
      <c r="R74" s="238"/>
      <c r="S74" s="238"/>
      <c r="T74" s="238"/>
      <c r="U74" s="238"/>
      <c r="V74" s="238"/>
      <c r="W74" s="538" t="s">
        <v>465</v>
      </c>
      <c r="X74" s="533">
        <v>1.4713000000000001</v>
      </c>
      <c r="Y74" s="533"/>
      <c r="Z74" s="533"/>
      <c r="AA74" s="533"/>
      <c r="AB74" s="533"/>
      <c r="AC74" s="533"/>
      <c r="AD74" s="533"/>
      <c r="AE74" s="533"/>
      <c r="AF74" s="533"/>
      <c r="AG74" s="533"/>
      <c r="AH74" s="533"/>
      <c r="AI74" s="263"/>
    </row>
    <row r="75" spans="1:35" x14ac:dyDescent="0.25">
      <c r="A75" s="258"/>
      <c r="B75" s="238"/>
      <c r="C75" s="238"/>
      <c r="D75" s="238"/>
      <c r="E75" s="238"/>
      <c r="F75" s="238"/>
      <c r="G75" s="238"/>
      <c r="H75" s="238"/>
      <c r="I75" s="238"/>
      <c r="J75" s="238"/>
      <c r="K75" s="238"/>
      <c r="L75" s="238"/>
      <c r="M75" s="238"/>
      <c r="N75" s="238"/>
      <c r="O75" s="238"/>
      <c r="P75" s="238"/>
      <c r="Q75" s="238"/>
      <c r="R75" s="238"/>
      <c r="S75" s="238"/>
      <c r="T75" s="238"/>
      <c r="U75" s="238"/>
      <c r="V75" s="238"/>
      <c r="W75" s="541" t="s">
        <v>466</v>
      </c>
      <c r="X75" s="533">
        <v>22.805</v>
      </c>
      <c r="Y75" s="533"/>
      <c r="Z75" s="533"/>
      <c r="AA75" s="533"/>
      <c r="AB75" s="533"/>
      <c r="AC75" s="533"/>
      <c r="AD75" s="533"/>
      <c r="AE75" s="533"/>
      <c r="AF75" s="533"/>
      <c r="AG75" s="533"/>
      <c r="AH75" s="533"/>
      <c r="AI75" s="263"/>
    </row>
    <row r="76" spans="1:35" ht="30.75" thickBot="1" x14ac:dyDescent="0.3">
      <c r="A76" s="259"/>
      <c r="B76" s="512"/>
      <c r="C76" s="512"/>
      <c r="D76" s="512"/>
      <c r="E76" s="512"/>
      <c r="F76" s="512"/>
      <c r="G76" s="512"/>
      <c r="H76" s="512"/>
      <c r="I76" s="512"/>
      <c r="J76" s="512"/>
      <c r="K76" s="512"/>
      <c r="L76" s="512"/>
      <c r="M76" s="512"/>
      <c r="N76" s="512"/>
      <c r="O76" s="512"/>
      <c r="P76" s="512"/>
      <c r="Q76" s="512"/>
      <c r="R76" s="512"/>
      <c r="S76" s="512"/>
      <c r="T76" s="512"/>
      <c r="U76" s="512"/>
      <c r="V76" s="512"/>
      <c r="W76" s="267" t="s">
        <v>515</v>
      </c>
      <c r="X76" s="264">
        <f>COUNT(U72:X72)</f>
        <v>4</v>
      </c>
      <c r="Y76" s="264">
        <f>X76+1</f>
        <v>5</v>
      </c>
      <c r="Z76" s="264">
        <f t="shared" ref="Z76:AI76" si="13">Y76+1</f>
        <v>6</v>
      </c>
      <c r="AA76" s="264">
        <f t="shared" si="13"/>
        <v>7</v>
      </c>
      <c r="AB76" s="264">
        <f t="shared" si="13"/>
        <v>8</v>
      </c>
      <c r="AC76" s="264">
        <f t="shared" si="13"/>
        <v>9</v>
      </c>
      <c r="AD76" s="264">
        <f t="shared" si="13"/>
        <v>10</v>
      </c>
      <c r="AE76" s="264">
        <f t="shared" si="13"/>
        <v>11</v>
      </c>
      <c r="AF76" s="264">
        <f t="shared" si="13"/>
        <v>12</v>
      </c>
      <c r="AG76" s="264">
        <f t="shared" si="13"/>
        <v>13</v>
      </c>
      <c r="AH76" s="264">
        <f t="shared" si="13"/>
        <v>14</v>
      </c>
      <c r="AI76" s="265">
        <f t="shared" si="13"/>
        <v>15</v>
      </c>
    </row>
    <row r="77" spans="1:35" ht="15.75" thickBot="1" x14ac:dyDescent="0.3">
      <c r="B77" s="238"/>
      <c r="C77" s="238"/>
      <c r="D77" s="238"/>
      <c r="E77" s="238"/>
      <c r="F77" s="238"/>
      <c r="G77" s="238"/>
      <c r="H77" s="238"/>
      <c r="I77" s="238"/>
      <c r="J77" s="238"/>
      <c r="K77" s="238"/>
      <c r="L77" s="238"/>
      <c r="M77" s="238"/>
      <c r="N77" s="238"/>
      <c r="O77" s="238"/>
      <c r="P77" s="238"/>
      <c r="Q77" s="238"/>
      <c r="R77" s="238"/>
      <c r="S77" s="238"/>
      <c r="T77" s="238"/>
      <c r="U77" s="238"/>
      <c r="V77" s="238"/>
      <c r="W77" s="238"/>
    </row>
    <row r="78" spans="1:35" ht="46.9" customHeight="1" x14ac:dyDescent="0.25">
      <c r="A78" s="257"/>
      <c r="B78" s="509">
        <v>1999</v>
      </c>
      <c r="C78" s="509">
        <v>2000</v>
      </c>
      <c r="D78" s="509">
        <v>2001</v>
      </c>
      <c r="E78" s="252">
        <v>2002</v>
      </c>
      <c r="F78" s="252">
        <v>2003</v>
      </c>
      <c r="G78" s="252">
        <v>2004</v>
      </c>
      <c r="H78" s="252">
        <v>2005</v>
      </c>
      <c r="I78" s="252">
        <v>2006</v>
      </c>
      <c r="J78" s="252">
        <v>2007</v>
      </c>
      <c r="K78" s="252">
        <v>2008</v>
      </c>
      <c r="L78" s="252">
        <v>2009</v>
      </c>
      <c r="M78" s="252">
        <v>2010</v>
      </c>
      <c r="N78" s="252">
        <v>2011</v>
      </c>
      <c r="O78" s="252">
        <v>2012</v>
      </c>
      <c r="P78" s="252">
        <v>2013</v>
      </c>
      <c r="Q78" s="252">
        <v>2014</v>
      </c>
      <c r="R78" s="252">
        <v>2015</v>
      </c>
      <c r="S78" s="252">
        <v>2016</v>
      </c>
      <c r="T78" s="252">
        <v>2017</v>
      </c>
      <c r="U78" s="252">
        <v>2018</v>
      </c>
      <c r="V78" s="252">
        <v>2019</v>
      </c>
      <c r="W78" s="252">
        <v>2020</v>
      </c>
      <c r="X78" s="513">
        <v>2021</v>
      </c>
      <c r="Y78" s="514">
        <v>2022</v>
      </c>
      <c r="Z78" s="514">
        <v>2023</v>
      </c>
      <c r="AA78" s="514">
        <v>2024</v>
      </c>
      <c r="AB78" s="514">
        <v>2025</v>
      </c>
      <c r="AC78" s="514">
        <v>2026</v>
      </c>
      <c r="AD78" s="514">
        <v>2027</v>
      </c>
      <c r="AE78" s="514">
        <v>2028</v>
      </c>
      <c r="AF78" s="514">
        <v>2029</v>
      </c>
      <c r="AG78" s="514">
        <v>2030</v>
      </c>
      <c r="AH78" s="514">
        <v>2031</v>
      </c>
      <c r="AI78" s="515">
        <v>2032</v>
      </c>
    </row>
    <row r="79" spans="1:35" ht="60" customHeight="1" x14ac:dyDescent="0.3">
      <c r="A79" s="258" t="s">
        <v>520</v>
      </c>
      <c r="B79" s="238">
        <v>22.644702993250849</v>
      </c>
      <c r="C79" s="238">
        <v>22.924369637243849</v>
      </c>
      <c r="D79" s="238">
        <v>26.009896681055089</v>
      </c>
      <c r="E79" s="238">
        <v>27.70419131576595</v>
      </c>
      <c r="F79" s="238">
        <v>29.576845814212142</v>
      </c>
      <c r="G79" s="238">
        <v>31.192944155009759</v>
      </c>
      <c r="H79" s="238">
        <v>33.089033713187057</v>
      </c>
      <c r="I79" s="238">
        <v>34.667395230392749</v>
      </c>
      <c r="J79" s="238">
        <v>38.138427797455194</v>
      </c>
      <c r="K79" s="238">
        <v>39.908093084665353</v>
      </c>
      <c r="L79" s="238">
        <v>41.321248942317268</v>
      </c>
      <c r="M79" s="238">
        <v>43.229107204220711</v>
      </c>
      <c r="N79" s="238">
        <v>42.949298213087268</v>
      </c>
      <c r="O79" s="238">
        <v>41.796060436634122</v>
      </c>
      <c r="P79" s="238">
        <v>40.409170103866032</v>
      </c>
      <c r="Q79" s="238">
        <v>40.459787102320959</v>
      </c>
      <c r="R79" s="238">
        <v>39.126432469778543</v>
      </c>
      <c r="S79" s="238">
        <v>39.638524145690774</v>
      </c>
      <c r="T79" s="238">
        <v>38.987251089279567</v>
      </c>
      <c r="U79" s="238">
        <v>36.400205394208072</v>
      </c>
      <c r="V79" s="238">
        <v>32.734044174773409</v>
      </c>
      <c r="W79" s="238">
        <v>31.29729630348751</v>
      </c>
      <c r="X79" s="552">
        <f>$X$80*LN(X82)+$X$81</f>
        <v>29.758008381680835</v>
      </c>
      <c r="Y79" s="552">
        <f t="shared" ref="Y79:AI79" si="14">$X$80*LN(Y82)+$X$81</f>
        <v>28.706109680785652</v>
      </c>
      <c r="Z79" s="552">
        <f t="shared" si="14"/>
        <v>27.846645862058949</v>
      </c>
      <c r="AA79" s="552">
        <f t="shared" si="14"/>
        <v>27.119979557353254</v>
      </c>
      <c r="AB79" s="552">
        <f t="shared" si="14"/>
        <v>26.490512572521254</v>
      </c>
      <c r="AC79" s="552">
        <f t="shared" si="14"/>
        <v>25.93528334243706</v>
      </c>
      <c r="AD79" s="552">
        <f t="shared" si="14"/>
        <v>25.438613871626067</v>
      </c>
      <c r="AE79" s="552">
        <f t="shared" si="14"/>
        <v>24.989321684028479</v>
      </c>
      <c r="AF79" s="552">
        <f t="shared" si="14"/>
        <v>24.579150052899365</v>
      </c>
      <c r="AG79" s="552">
        <f t="shared" si="14"/>
        <v>24.201828728926316</v>
      </c>
      <c r="AH79" s="552">
        <f t="shared" si="14"/>
        <v>23.85248374819367</v>
      </c>
      <c r="AI79" s="508">
        <f t="shared" si="14"/>
        <v>23.527251352004178</v>
      </c>
    </row>
    <row r="80" spans="1:35" x14ac:dyDescent="0.25">
      <c r="A80" s="258"/>
      <c r="W80" s="538" t="s">
        <v>465</v>
      </c>
      <c r="X80" s="533">
        <v>-4.7140000000000004</v>
      </c>
      <c r="Y80" s="533"/>
      <c r="Z80" s="533"/>
      <c r="AA80" s="533"/>
      <c r="AB80" s="533"/>
      <c r="AC80" s="533"/>
      <c r="AD80" s="533"/>
      <c r="AE80" s="533"/>
      <c r="AF80" s="533"/>
      <c r="AG80" s="533"/>
      <c r="AH80" s="533"/>
      <c r="AI80" s="263"/>
    </row>
    <row r="81" spans="1:35" x14ac:dyDescent="0.25">
      <c r="A81" s="258"/>
      <c r="W81" s="541" t="s">
        <v>466</v>
      </c>
      <c r="X81" s="533">
        <v>36.292999999999999</v>
      </c>
      <c r="Y81" s="533"/>
      <c r="Z81" s="533"/>
      <c r="AA81" s="533"/>
      <c r="AB81" s="533"/>
      <c r="AC81" s="533"/>
      <c r="AD81" s="533"/>
      <c r="AE81" s="533"/>
      <c r="AF81" s="533"/>
      <c r="AG81" s="533"/>
      <c r="AH81" s="533"/>
      <c r="AI81" s="263"/>
    </row>
    <row r="82" spans="1:35" ht="30.75" thickBot="1" x14ac:dyDescent="0.3">
      <c r="A82" s="259"/>
      <c r="B82" s="370"/>
      <c r="C82" s="370"/>
      <c r="D82" s="370"/>
      <c r="E82" s="254"/>
      <c r="F82" s="254"/>
      <c r="G82" s="254"/>
      <c r="H82" s="254"/>
      <c r="I82" s="254"/>
      <c r="J82" s="254"/>
      <c r="K82" s="254"/>
      <c r="L82" s="254"/>
      <c r="M82" s="254"/>
      <c r="N82" s="254"/>
      <c r="O82" s="254"/>
      <c r="P82" s="254"/>
      <c r="Q82" s="254"/>
      <c r="R82" s="254"/>
      <c r="S82" s="254"/>
      <c r="T82" s="254"/>
      <c r="U82" s="254"/>
      <c r="V82" s="254"/>
      <c r="W82" s="267" t="s">
        <v>515</v>
      </c>
      <c r="X82" s="264">
        <f>COUNT(U78:X78)</f>
        <v>4</v>
      </c>
      <c r="Y82" s="264">
        <f>X82+1</f>
        <v>5</v>
      </c>
      <c r="Z82" s="264">
        <f t="shared" ref="Z82:AI82" si="15">Y82+1</f>
        <v>6</v>
      </c>
      <c r="AA82" s="264">
        <f t="shared" si="15"/>
        <v>7</v>
      </c>
      <c r="AB82" s="264">
        <f t="shared" si="15"/>
        <v>8</v>
      </c>
      <c r="AC82" s="264">
        <f t="shared" si="15"/>
        <v>9</v>
      </c>
      <c r="AD82" s="264">
        <f t="shared" si="15"/>
        <v>10</v>
      </c>
      <c r="AE82" s="264">
        <f t="shared" si="15"/>
        <v>11</v>
      </c>
      <c r="AF82" s="264">
        <f t="shared" si="15"/>
        <v>12</v>
      </c>
      <c r="AG82" s="264">
        <f t="shared" si="15"/>
        <v>13</v>
      </c>
      <c r="AH82" s="264">
        <f t="shared" si="15"/>
        <v>14</v>
      </c>
      <c r="AI82" s="265">
        <f t="shared" si="15"/>
        <v>15</v>
      </c>
    </row>
    <row r="83" spans="1:35" x14ac:dyDescent="0.25">
      <c r="AE83" s="525" t="s">
        <v>86</v>
      </c>
    </row>
  </sheetData>
  <mergeCells count="1">
    <mergeCell ref="A1:P1"/>
  </mergeCells>
  <pageMargins left="0.7" right="0.7" top="0.75" bottom="0.75" header="0.3" footer="0.3"/>
  <pageSetup orientation="portrait" r:id="rId1"/>
  <ignoredErrors>
    <ignoredError sqref="W16 W24 X32 X49 X56 X70 X76 X8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39"/>
  <sheetViews>
    <sheetView zoomScale="85" zoomScaleNormal="85" workbookViewId="0">
      <selection activeCell="A28" sqref="A28"/>
    </sheetView>
  </sheetViews>
  <sheetFormatPr defaultColWidth="8.7109375" defaultRowHeight="15" x14ac:dyDescent="0.25"/>
  <cols>
    <col min="1" max="1" width="50.140625" customWidth="1"/>
    <col min="2" max="2" width="10.42578125" customWidth="1"/>
    <col min="3" max="3" width="8" bestFit="1" customWidth="1"/>
    <col min="4" max="4" width="10.42578125" customWidth="1"/>
    <col min="5" max="6" width="11.7109375" customWidth="1"/>
    <col min="7" max="7" width="9.42578125" bestFit="1" customWidth="1"/>
    <col min="8" max="15" width="9" bestFit="1" customWidth="1"/>
    <col min="16" max="16" width="11.7109375" customWidth="1"/>
    <col min="17" max="23" width="13.140625" customWidth="1"/>
  </cols>
  <sheetData>
    <row r="1" spans="1:23" ht="73.150000000000006" customHeight="1" x14ac:dyDescent="0.25">
      <c r="A1" s="58" t="s">
        <v>44</v>
      </c>
      <c r="B1" s="46"/>
      <c r="C1" s="46"/>
      <c r="D1" s="46"/>
      <c r="E1" s="46"/>
      <c r="F1" s="46"/>
      <c r="G1" s="46"/>
      <c r="H1" s="46"/>
      <c r="I1" s="46"/>
      <c r="J1" s="46"/>
      <c r="K1" s="46"/>
      <c r="L1" s="46"/>
      <c r="M1" s="46"/>
      <c r="N1" s="46"/>
      <c r="O1" s="46"/>
      <c r="P1" s="46"/>
      <c r="Q1" s="46"/>
      <c r="R1" s="46"/>
      <c r="S1" s="46"/>
    </row>
    <row r="2" spans="1:23" ht="27" customHeight="1" x14ac:dyDescent="0.25">
      <c r="A2" s="234" t="s">
        <v>45</v>
      </c>
      <c r="B2" s="39">
        <v>1999</v>
      </c>
      <c r="C2" s="39">
        <v>2000</v>
      </c>
      <c r="D2" s="39">
        <v>2001</v>
      </c>
      <c r="E2" s="39">
        <v>2002</v>
      </c>
      <c r="F2" s="39">
        <v>2003</v>
      </c>
      <c r="G2" s="39">
        <v>2004</v>
      </c>
      <c r="H2" s="40">
        <v>2005</v>
      </c>
      <c r="I2" s="41">
        <v>2006</v>
      </c>
      <c r="J2" s="40">
        <v>2007</v>
      </c>
      <c r="K2" s="41">
        <v>2008</v>
      </c>
      <c r="L2" s="40">
        <v>2009</v>
      </c>
      <c r="M2" s="41">
        <v>2010</v>
      </c>
      <c r="N2" s="40">
        <v>2011</v>
      </c>
      <c r="O2" s="41">
        <v>2012</v>
      </c>
      <c r="P2" s="40">
        <v>2013</v>
      </c>
      <c r="Q2" s="41">
        <v>2014</v>
      </c>
      <c r="R2" s="40">
        <v>2015</v>
      </c>
      <c r="S2" s="41">
        <v>2016</v>
      </c>
      <c r="T2" s="42">
        <v>2017</v>
      </c>
      <c r="U2" s="43">
        <v>2018</v>
      </c>
      <c r="V2" s="42">
        <v>2019</v>
      </c>
      <c r="W2" s="42">
        <v>2020</v>
      </c>
    </row>
    <row r="3" spans="1:23" s="85" customFormat="1" x14ac:dyDescent="0.25">
      <c r="A3" s="78" t="s">
        <v>8</v>
      </c>
      <c r="B3" s="86">
        <v>0</v>
      </c>
      <c r="C3" s="86">
        <v>0</v>
      </c>
      <c r="D3" s="86">
        <v>0</v>
      </c>
      <c r="E3" s="86">
        <v>0</v>
      </c>
      <c r="F3" s="79">
        <v>19026</v>
      </c>
      <c r="G3" s="79">
        <v>63174</v>
      </c>
      <c r="H3" s="80">
        <v>108325</v>
      </c>
      <c r="I3" s="81">
        <v>170005</v>
      </c>
      <c r="J3" s="82">
        <v>288677</v>
      </c>
      <c r="K3" s="81">
        <v>436904</v>
      </c>
      <c r="L3" s="80">
        <v>517292</v>
      </c>
      <c r="M3" s="81">
        <v>603494</v>
      </c>
      <c r="N3" s="80">
        <v>710244</v>
      </c>
      <c r="O3" s="81">
        <v>730890</v>
      </c>
      <c r="P3" s="80">
        <v>774276</v>
      </c>
      <c r="Q3" s="81">
        <v>861312</v>
      </c>
      <c r="R3" s="80">
        <v>914792</v>
      </c>
      <c r="S3" s="81">
        <v>1003521</v>
      </c>
      <c r="T3" s="83">
        <v>1113512</v>
      </c>
      <c r="U3" s="84">
        <v>1186830</v>
      </c>
      <c r="V3" s="83">
        <v>1295524</v>
      </c>
      <c r="W3" s="83">
        <v>1361265</v>
      </c>
    </row>
    <row r="4" spans="1:23" s="85" customFormat="1" x14ac:dyDescent="0.25">
      <c r="A4" s="196"/>
      <c r="B4" s="195"/>
      <c r="C4" s="197" t="s">
        <v>46</v>
      </c>
      <c r="D4" s="194"/>
      <c r="E4" s="194"/>
      <c r="F4" s="194"/>
      <c r="G4" s="427"/>
      <c r="H4" s="427"/>
      <c r="I4" s="427"/>
      <c r="J4" s="427"/>
      <c r="K4" s="427"/>
      <c r="L4" s="427"/>
      <c r="M4" s="427"/>
      <c r="N4" s="427"/>
      <c r="O4" s="427"/>
      <c r="P4" s="427"/>
      <c r="Q4" s="427"/>
      <c r="R4" s="427"/>
      <c r="S4" s="427"/>
      <c r="T4" s="427"/>
      <c r="U4" s="427"/>
      <c r="V4" s="427"/>
      <c r="W4" s="427"/>
    </row>
    <row r="5" spans="1:23" x14ac:dyDescent="0.25">
      <c r="A5" s="136" t="s">
        <v>47</v>
      </c>
      <c r="B5" s="87"/>
      <c r="C5" s="44"/>
      <c r="D5" s="44"/>
      <c r="E5" s="44"/>
      <c r="F5" s="44"/>
      <c r="G5" s="44"/>
      <c r="H5" s="44"/>
      <c r="I5" s="44"/>
      <c r="J5" s="44"/>
      <c r="K5" s="44"/>
      <c r="L5" s="44"/>
      <c r="M5" s="44"/>
      <c r="N5" s="44"/>
      <c r="O5" s="44"/>
      <c r="P5" s="44"/>
      <c r="Q5" s="45"/>
      <c r="R5" s="45"/>
      <c r="S5" s="45"/>
    </row>
    <row r="6" spans="1:23" x14ac:dyDescent="0.25">
      <c r="A6" s="50" t="s">
        <v>48</v>
      </c>
      <c r="B6" s="46"/>
      <c r="C6" s="46"/>
      <c r="D6" s="46"/>
      <c r="E6" s="46"/>
      <c r="F6" s="46"/>
      <c r="G6" s="46"/>
      <c r="H6" s="46"/>
      <c r="I6" s="46"/>
      <c r="J6" s="46"/>
      <c r="K6" s="46"/>
      <c r="L6" s="46"/>
      <c r="M6" s="46"/>
      <c r="N6" s="46"/>
      <c r="O6" s="46"/>
      <c r="V6" s="31"/>
    </row>
    <row r="7" spans="1:23" ht="56.65" customHeight="1" x14ac:dyDescent="0.25">
      <c r="A7" s="555" t="s">
        <v>49</v>
      </c>
      <c r="B7" s="555"/>
      <c r="C7" s="555"/>
      <c r="D7" s="555"/>
      <c r="E7" s="555"/>
      <c r="F7" s="555"/>
      <c r="G7" s="555"/>
      <c r="H7" s="555"/>
      <c r="I7" s="555"/>
      <c r="J7" s="555"/>
      <c r="K7" s="555"/>
      <c r="L7" s="555"/>
      <c r="M7" s="555"/>
      <c r="N7" s="555"/>
      <c r="O7" s="555"/>
      <c r="V7" s="30"/>
    </row>
    <row r="8" spans="1:23" ht="14.65" customHeight="1" x14ac:dyDescent="0.25">
      <c r="W8" s="554"/>
    </row>
    <row r="9" spans="1:23" x14ac:dyDescent="0.25">
      <c r="W9" s="554"/>
    </row>
    <row r="10" spans="1:23" x14ac:dyDescent="0.25">
      <c r="W10" s="554"/>
    </row>
    <row r="14" spans="1:23" x14ac:dyDescent="0.25">
      <c r="F14" s="20"/>
      <c r="G14" s="20"/>
      <c r="H14" s="20"/>
      <c r="I14" s="20"/>
      <c r="J14" s="20"/>
      <c r="K14" s="20"/>
      <c r="L14" s="20"/>
      <c r="P14" s="20"/>
      <c r="Q14" s="20"/>
      <c r="R14" s="20"/>
      <c r="S14" s="20"/>
    </row>
    <row r="15" spans="1:23" x14ac:dyDescent="0.25">
      <c r="H15" s="20"/>
      <c r="I15" s="20"/>
      <c r="J15" s="20"/>
      <c r="K15" s="20"/>
      <c r="L15" s="20"/>
      <c r="M15" s="20"/>
      <c r="P15" s="20"/>
      <c r="Q15" s="20"/>
      <c r="R15" s="20"/>
      <c r="S15" s="20"/>
    </row>
    <row r="16" spans="1:23" x14ac:dyDescent="0.25">
      <c r="P16" s="20"/>
      <c r="Q16" s="20"/>
      <c r="R16" s="20"/>
      <c r="S16" s="20"/>
    </row>
    <row r="18" spans="1:42" x14ac:dyDescent="0.25">
      <c r="Q18" s="20"/>
      <c r="R18" s="20"/>
    </row>
    <row r="20" spans="1:42" ht="54.75" customHeight="1" x14ac:dyDescent="0.25">
      <c r="A20" s="36"/>
    </row>
    <row r="21" spans="1:42" ht="50.25" customHeight="1" x14ac:dyDescent="0.25">
      <c r="A21" s="36"/>
    </row>
    <row r="22" spans="1:42" ht="45.75" customHeight="1" x14ac:dyDescent="0.25">
      <c r="A22" s="36"/>
    </row>
    <row r="23" spans="1:42" ht="25.5" customHeight="1" x14ac:dyDescent="0.25">
      <c r="A23" s="36"/>
    </row>
    <row r="24" spans="1:42" x14ac:dyDescent="0.25">
      <c r="A24" s="36"/>
    </row>
    <row r="25" spans="1:42" ht="67.5" customHeight="1" x14ac:dyDescent="0.25">
      <c r="A25" s="37"/>
    </row>
    <row r="30" spans="1:42" x14ac:dyDescent="0.25">
      <c r="B30" s="189"/>
      <c r="C30" s="189"/>
      <c r="D30" s="189"/>
    </row>
    <row r="31" spans="1:42" x14ac:dyDescent="0.25">
      <c r="A31" s="38"/>
      <c r="B31" s="189"/>
      <c r="C31" s="189"/>
      <c r="D31" s="189"/>
      <c r="AP31" s="46"/>
    </row>
    <row r="32" spans="1:42" x14ac:dyDescent="0.25">
      <c r="AP32" s="46"/>
    </row>
    <row r="33" spans="42:42" x14ac:dyDescent="0.25">
      <c r="AP33" s="46"/>
    </row>
    <row r="34" spans="42:42" x14ac:dyDescent="0.25">
      <c r="AP34" s="46"/>
    </row>
    <row r="35" spans="42:42" x14ac:dyDescent="0.25">
      <c r="AP35" s="46"/>
    </row>
    <row r="36" spans="42:42" x14ac:dyDescent="0.25">
      <c r="AP36" s="46"/>
    </row>
    <row r="37" spans="42:42" x14ac:dyDescent="0.25">
      <c r="AP37" s="46"/>
    </row>
    <row r="39" spans="42:42" ht="61.5" customHeight="1" x14ac:dyDescent="0.25"/>
  </sheetData>
  <mergeCells count="2">
    <mergeCell ref="W8:W10"/>
    <mergeCell ref="A7:O7"/>
  </mergeCells>
  <hyperlinks>
    <hyperlink ref="C4" r:id="rId1" xr:uid="{00000000-0004-0000-02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T14"/>
  <sheetViews>
    <sheetView zoomScale="85" zoomScaleNormal="85" workbookViewId="0">
      <selection activeCell="A3" sqref="A3"/>
    </sheetView>
  </sheetViews>
  <sheetFormatPr defaultColWidth="8.7109375" defaultRowHeight="15" x14ac:dyDescent="0.25"/>
  <cols>
    <col min="1" max="1" width="31.42578125" customWidth="1"/>
    <col min="2" max="2" width="13.140625" customWidth="1"/>
    <col min="3" max="3" width="11.28515625" customWidth="1"/>
    <col min="4" max="4" width="14.42578125" customWidth="1"/>
    <col min="5" max="10" width="12.28515625" bestFit="1" customWidth="1"/>
    <col min="11" max="11" width="10.7109375" customWidth="1"/>
    <col min="12" max="17" width="12.28515625" bestFit="1" customWidth="1"/>
    <col min="18" max="23" width="12.42578125" bestFit="1" customWidth="1"/>
    <col min="24" max="24" width="13.42578125" customWidth="1"/>
    <col min="25" max="25" width="15.7109375" customWidth="1"/>
    <col min="26" max="26" width="11.7109375" customWidth="1"/>
    <col min="27" max="27" width="11.28515625" bestFit="1" customWidth="1"/>
    <col min="28" max="32" width="12.140625" bestFit="1" customWidth="1"/>
    <col min="33" max="33" width="11.28515625" bestFit="1" customWidth="1"/>
    <col min="34" max="34" width="11.7109375" bestFit="1" customWidth="1"/>
    <col min="35" max="35" width="11.42578125" bestFit="1" customWidth="1"/>
    <col min="36" max="36" width="12.42578125" bestFit="1" customWidth="1"/>
    <col min="37" max="37" width="12.7109375" bestFit="1" customWidth="1"/>
    <col min="38" max="39" width="12.42578125" bestFit="1" customWidth="1"/>
    <col min="40" max="41" width="12" bestFit="1" customWidth="1"/>
    <col min="42" max="42" width="12.42578125" bestFit="1" customWidth="1"/>
    <col min="43" max="43" width="11.42578125" bestFit="1" customWidth="1"/>
    <col min="44" max="44" width="12.42578125" bestFit="1" customWidth="1"/>
    <col min="45" max="45" width="12" bestFit="1" customWidth="1"/>
    <col min="46" max="47" width="12.42578125" bestFit="1" customWidth="1"/>
    <col min="48" max="50" width="13.28515625" bestFit="1" customWidth="1"/>
    <col min="51" max="52" width="12.7109375" bestFit="1" customWidth="1"/>
    <col min="53" max="53" width="13.28515625" bestFit="1" customWidth="1"/>
    <col min="54" max="54" width="12.7109375" bestFit="1" customWidth="1"/>
    <col min="55" max="55" width="13.28515625" bestFit="1" customWidth="1"/>
    <col min="56" max="56" width="12.42578125" bestFit="1" customWidth="1"/>
    <col min="57" max="57" width="13.28515625" bestFit="1" customWidth="1"/>
    <col min="58" max="58" width="12" bestFit="1" customWidth="1"/>
    <col min="59" max="59" width="12.42578125" bestFit="1" customWidth="1"/>
    <col min="60" max="60" width="12.7109375" bestFit="1" customWidth="1"/>
    <col min="61" max="61" width="13.28515625" bestFit="1" customWidth="1"/>
    <col min="62" max="63" width="12.7109375" bestFit="1" customWidth="1"/>
    <col min="64" max="64" width="13.28515625" bestFit="1" customWidth="1"/>
    <col min="65" max="65" width="12.7109375" bestFit="1" customWidth="1"/>
    <col min="66" max="66" width="12.42578125" bestFit="1" customWidth="1"/>
    <col min="67" max="68" width="12.7109375" bestFit="1" customWidth="1"/>
    <col min="69" max="69" width="12.42578125" bestFit="1" customWidth="1"/>
    <col min="70" max="73" width="12.7109375" bestFit="1" customWidth="1"/>
    <col min="74" max="74" width="13.28515625" bestFit="1" customWidth="1"/>
    <col min="75" max="76" width="12.7109375" bestFit="1" customWidth="1"/>
    <col min="77" max="77" width="13.28515625" bestFit="1" customWidth="1"/>
    <col min="78" max="78" width="12" bestFit="1" customWidth="1"/>
    <col min="79" max="79" width="12.7109375" bestFit="1" customWidth="1"/>
    <col min="80" max="80" width="13.28515625" bestFit="1" customWidth="1"/>
    <col min="81" max="81" width="12.42578125" bestFit="1" customWidth="1"/>
    <col min="82" max="84" width="12.7109375" bestFit="1" customWidth="1"/>
    <col min="85" max="85" width="12" bestFit="1" customWidth="1"/>
    <col min="86" max="86" width="12.7109375" bestFit="1" customWidth="1"/>
    <col min="87" max="87" width="12.42578125" bestFit="1" customWidth="1"/>
    <col min="88" max="88" width="12.7109375" bestFit="1" customWidth="1"/>
    <col min="89" max="89" width="12.42578125" bestFit="1" customWidth="1"/>
    <col min="90" max="90" width="13.28515625" bestFit="1" customWidth="1"/>
    <col min="91" max="91" width="13.42578125" bestFit="1" customWidth="1"/>
    <col min="92" max="92" width="13" bestFit="1" customWidth="1"/>
    <col min="93" max="93" width="14" bestFit="1" customWidth="1"/>
    <col min="94" max="94" width="13.42578125" bestFit="1" customWidth="1"/>
    <col min="95" max="96" width="13" bestFit="1" customWidth="1"/>
    <col min="97" max="98" width="14" bestFit="1" customWidth="1"/>
    <col min="99" max="99" width="13.42578125" bestFit="1" customWidth="1"/>
    <col min="100" max="100" width="14" bestFit="1" customWidth="1"/>
    <col min="101" max="101" width="13.42578125" bestFit="1" customWidth="1"/>
    <col min="102" max="102" width="14" bestFit="1" customWidth="1"/>
    <col min="103" max="104" width="13.42578125" bestFit="1" customWidth="1"/>
    <col min="105" max="105" width="13" bestFit="1" customWidth="1"/>
    <col min="106" max="106" width="13.42578125" bestFit="1" customWidth="1"/>
    <col min="107" max="107" width="12.42578125" bestFit="1" customWidth="1"/>
    <col min="108" max="109" width="14" bestFit="1" customWidth="1"/>
    <col min="110" max="112" width="13.42578125" bestFit="1" customWidth="1"/>
    <col min="113" max="113" width="14" bestFit="1" customWidth="1"/>
    <col min="114" max="116" width="13.42578125" bestFit="1" customWidth="1"/>
    <col min="117" max="118" width="14" bestFit="1" customWidth="1"/>
    <col min="119" max="119" width="14.42578125" bestFit="1" customWidth="1"/>
    <col min="120" max="121" width="14" bestFit="1" customWidth="1"/>
    <col min="122" max="122" width="14.42578125" bestFit="1" customWidth="1"/>
    <col min="123" max="123" width="14" bestFit="1" customWidth="1"/>
    <col min="124" max="124" width="13.42578125" bestFit="1" customWidth="1"/>
    <col min="125" max="125" width="14" bestFit="1" customWidth="1"/>
    <col min="126" max="129" width="14.42578125" bestFit="1" customWidth="1"/>
    <col min="130" max="130" width="13.42578125" bestFit="1" customWidth="1"/>
    <col min="131" max="131" width="14.42578125" bestFit="1" customWidth="1"/>
    <col min="132" max="132" width="13.42578125" bestFit="1" customWidth="1"/>
    <col min="133" max="133" width="14.42578125" bestFit="1" customWidth="1"/>
    <col min="134" max="134" width="14" bestFit="1" customWidth="1"/>
    <col min="135" max="136" width="14.42578125" bestFit="1" customWidth="1"/>
    <col min="137" max="138" width="13.42578125" bestFit="1" customWidth="1"/>
    <col min="139" max="143" width="14" bestFit="1" customWidth="1"/>
    <col min="144" max="144" width="14.42578125" bestFit="1" customWidth="1"/>
    <col min="145" max="145" width="14" bestFit="1" customWidth="1"/>
    <col min="146" max="146" width="14.42578125" bestFit="1" customWidth="1"/>
    <col min="147" max="148" width="14" bestFit="1" customWidth="1"/>
    <col min="149" max="150" width="14.42578125" bestFit="1" customWidth="1"/>
    <col min="151" max="151" width="13" bestFit="1" customWidth="1"/>
    <col min="152" max="152" width="12.42578125" bestFit="1" customWidth="1"/>
    <col min="153" max="153" width="14" bestFit="1" customWidth="1"/>
    <col min="154" max="154" width="13" bestFit="1" customWidth="1"/>
    <col min="155" max="156" width="14" bestFit="1" customWidth="1"/>
    <col min="157" max="158" width="13.42578125" bestFit="1" customWidth="1"/>
    <col min="159" max="159" width="14.42578125" bestFit="1" customWidth="1"/>
    <col min="160" max="160" width="13.42578125" bestFit="1" customWidth="1"/>
    <col min="161" max="161" width="13" bestFit="1" customWidth="1"/>
    <col min="162" max="163" width="14" bestFit="1" customWidth="1"/>
    <col min="164" max="164" width="14.42578125" bestFit="1" customWidth="1"/>
    <col min="165" max="165" width="13.42578125" bestFit="1" customWidth="1"/>
    <col min="166" max="167" width="13" bestFit="1" customWidth="1"/>
    <col min="168" max="168" width="14.42578125" bestFit="1" customWidth="1"/>
    <col min="169" max="170" width="14" bestFit="1" customWidth="1"/>
    <col min="171" max="171" width="13.42578125" bestFit="1" customWidth="1"/>
    <col min="172" max="176" width="14.42578125" bestFit="1" customWidth="1"/>
    <col min="177" max="177" width="14" bestFit="1" customWidth="1"/>
    <col min="178" max="178" width="13.42578125" bestFit="1" customWidth="1"/>
    <col min="179" max="181" width="14" bestFit="1" customWidth="1"/>
    <col min="182" max="184" width="14.42578125" bestFit="1" customWidth="1"/>
    <col min="185" max="185" width="14" bestFit="1" customWidth="1"/>
    <col min="186" max="189" width="14.42578125" bestFit="1" customWidth="1"/>
    <col min="190" max="190" width="14" bestFit="1" customWidth="1"/>
    <col min="191" max="191" width="13" bestFit="1" customWidth="1"/>
    <col min="192" max="192" width="13.42578125" bestFit="1" customWidth="1"/>
    <col min="193" max="193" width="14.42578125" bestFit="1" customWidth="1"/>
    <col min="194" max="194" width="14" bestFit="1" customWidth="1"/>
    <col min="195" max="195" width="12.42578125" bestFit="1" customWidth="1"/>
    <col min="196" max="196" width="14.42578125" bestFit="1" customWidth="1"/>
    <col min="197" max="197" width="14" bestFit="1" customWidth="1"/>
    <col min="198" max="200" width="14.42578125" bestFit="1" customWidth="1"/>
    <col min="201" max="202" width="14" bestFit="1" customWidth="1"/>
    <col min="203" max="203" width="12.42578125" bestFit="1" customWidth="1"/>
    <col min="204" max="204" width="14" bestFit="1" customWidth="1"/>
    <col min="205" max="208" width="14.42578125" bestFit="1" customWidth="1"/>
    <col min="209" max="209" width="12.42578125" bestFit="1" customWidth="1"/>
    <col min="210" max="210" width="14" bestFit="1" customWidth="1"/>
    <col min="211" max="211" width="13.42578125" bestFit="1" customWidth="1"/>
    <col min="212" max="212" width="14.42578125" bestFit="1" customWidth="1"/>
    <col min="213" max="213" width="14" bestFit="1" customWidth="1"/>
    <col min="214" max="216" width="13.42578125" bestFit="1" customWidth="1"/>
    <col min="217" max="218" width="14.42578125" bestFit="1" customWidth="1"/>
    <col min="219" max="220" width="14" bestFit="1" customWidth="1"/>
    <col min="221" max="224" width="14.42578125" bestFit="1" customWidth="1"/>
    <col min="225" max="225" width="13" bestFit="1" customWidth="1"/>
    <col min="226" max="227" width="14.42578125" bestFit="1" customWidth="1"/>
    <col min="228" max="228" width="13.42578125" bestFit="1" customWidth="1"/>
    <col min="229" max="230" width="13" bestFit="1" customWidth="1"/>
    <col min="231" max="235" width="14" bestFit="1" customWidth="1"/>
    <col min="236" max="236" width="14.42578125" bestFit="1" customWidth="1"/>
    <col min="237" max="237" width="13" bestFit="1" customWidth="1"/>
    <col min="238" max="240" width="14.42578125" bestFit="1" customWidth="1"/>
    <col min="241" max="241" width="13" bestFit="1" customWidth="1"/>
    <col min="242" max="242" width="14" bestFit="1" customWidth="1"/>
    <col min="243" max="245" width="14.42578125" bestFit="1" customWidth="1"/>
    <col min="246" max="246" width="13" bestFit="1" customWidth="1"/>
    <col min="247" max="247" width="14" bestFit="1" customWidth="1"/>
    <col min="248" max="248" width="13.42578125" bestFit="1" customWidth="1"/>
    <col min="249" max="249" width="14" bestFit="1" customWidth="1"/>
    <col min="250" max="251" width="14.42578125" bestFit="1" customWidth="1"/>
    <col min="252" max="252" width="14" bestFit="1" customWidth="1"/>
    <col min="253" max="255" width="14.42578125" bestFit="1" customWidth="1"/>
    <col min="256" max="257" width="14" bestFit="1" customWidth="1"/>
    <col min="258" max="258" width="14.42578125" bestFit="1" customWidth="1"/>
    <col min="259" max="259" width="14" bestFit="1" customWidth="1"/>
    <col min="260" max="260" width="13.42578125" bestFit="1" customWidth="1"/>
    <col min="261" max="261" width="14.42578125" bestFit="1" customWidth="1"/>
    <col min="262" max="262" width="14" bestFit="1" customWidth="1"/>
    <col min="263" max="263" width="14.42578125" bestFit="1" customWidth="1"/>
    <col min="264" max="264" width="13.42578125" bestFit="1" customWidth="1"/>
    <col min="265" max="268" width="14" bestFit="1" customWidth="1"/>
    <col min="269" max="270" width="14.42578125" bestFit="1" customWidth="1"/>
    <col min="271" max="271" width="14" bestFit="1" customWidth="1"/>
    <col min="272" max="272" width="14.42578125" bestFit="1" customWidth="1"/>
    <col min="273" max="274" width="13" bestFit="1" customWidth="1"/>
    <col min="275" max="275" width="14.42578125" bestFit="1" customWidth="1"/>
    <col min="276" max="277" width="14" bestFit="1" customWidth="1"/>
    <col min="278" max="278" width="14.42578125" bestFit="1" customWidth="1"/>
    <col min="279" max="279" width="14" bestFit="1" customWidth="1"/>
    <col min="280" max="280" width="13" bestFit="1" customWidth="1"/>
    <col min="281" max="281" width="14.42578125" bestFit="1" customWidth="1"/>
    <col min="282" max="282" width="14" bestFit="1" customWidth="1"/>
    <col min="283" max="283" width="13.42578125" bestFit="1" customWidth="1"/>
    <col min="284" max="284" width="14.42578125" bestFit="1" customWidth="1"/>
    <col min="285" max="285" width="9.140625" customWidth="1"/>
    <col min="286" max="286" width="14.42578125" bestFit="1" customWidth="1"/>
    <col min="287" max="287" width="13.42578125" bestFit="1" customWidth="1"/>
    <col min="288" max="289" width="14" bestFit="1" customWidth="1"/>
    <col min="290" max="292" width="14.42578125" bestFit="1" customWidth="1"/>
    <col min="293" max="295" width="14" bestFit="1" customWidth="1"/>
    <col min="296" max="296" width="13.42578125" bestFit="1" customWidth="1"/>
    <col min="297" max="297" width="13" bestFit="1" customWidth="1"/>
    <col min="298" max="298" width="14.42578125" bestFit="1" customWidth="1"/>
    <col min="299" max="299" width="13.42578125" bestFit="1" customWidth="1"/>
    <col min="300" max="301" width="14.42578125" bestFit="1" customWidth="1"/>
    <col min="302" max="302" width="14" bestFit="1" customWidth="1"/>
    <col min="303" max="303" width="14.42578125" bestFit="1" customWidth="1"/>
    <col min="304" max="304" width="14" bestFit="1" customWidth="1"/>
    <col min="305" max="305" width="10.5703125" customWidth="1"/>
  </cols>
  <sheetData>
    <row r="1" spans="1:306" x14ac:dyDescent="0.25">
      <c r="A1" s="556" t="s">
        <v>498</v>
      </c>
      <c r="B1" s="556"/>
      <c r="C1" s="556"/>
      <c r="D1" s="556"/>
      <c r="E1" s="556"/>
      <c r="F1" s="556"/>
      <c r="G1" s="556"/>
      <c r="H1" s="556"/>
      <c r="I1" s="556"/>
      <c r="J1" s="556"/>
      <c r="K1" s="556"/>
    </row>
    <row r="2" spans="1:306" ht="90" customHeight="1" x14ac:dyDescent="0.25">
      <c r="A2" s="556"/>
      <c r="B2" s="556"/>
      <c r="C2" s="556"/>
      <c r="D2" s="556"/>
      <c r="E2" s="556"/>
      <c r="F2" s="556"/>
      <c r="G2" s="556"/>
      <c r="H2" s="556"/>
      <c r="I2" s="556"/>
      <c r="J2" s="556"/>
      <c r="K2" s="556"/>
    </row>
    <row r="3" spans="1:306" s="423" customFormat="1" x14ac:dyDescent="0.25">
      <c r="B3" s="423">
        <v>2002</v>
      </c>
      <c r="C3" s="23">
        <v>2002.083333</v>
      </c>
      <c r="D3" s="23">
        <v>2002.1666660000001</v>
      </c>
      <c r="E3" s="23">
        <v>2002.2499989999999</v>
      </c>
      <c r="F3" s="23">
        <v>2002.3333319999999</v>
      </c>
      <c r="G3" s="23">
        <v>2002.416665</v>
      </c>
      <c r="H3" s="23">
        <v>2002.499998</v>
      </c>
      <c r="I3" s="23">
        <v>2002.583331</v>
      </c>
      <c r="J3" s="23">
        <v>2002.6666640000001</v>
      </c>
      <c r="K3" s="23">
        <v>2002.7499969999999</v>
      </c>
      <c r="L3" s="23">
        <v>2002.8333299999999</v>
      </c>
      <c r="M3" s="23">
        <v>2002.916663</v>
      </c>
      <c r="N3" s="23">
        <v>2002.999996</v>
      </c>
      <c r="O3" s="23">
        <v>2003.083329</v>
      </c>
      <c r="P3" s="23">
        <v>2003.1666620000001</v>
      </c>
      <c r="Q3" s="23">
        <v>2003.2499949999999</v>
      </c>
      <c r="R3" s="23">
        <v>2003.3333279999999</v>
      </c>
      <c r="S3" s="23">
        <v>2003.416661</v>
      </c>
      <c r="T3" s="23">
        <v>2003.499994</v>
      </c>
      <c r="U3" s="23">
        <v>2003.5833270000001</v>
      </c>
      <c r="V3" s="23">
        <v>2003.6666600000001</v>
      </c>
      <c r="W3" s="23">
        <v>2003.7499929999999</v>
      </c>
      <c r="X3" s="23">
        <v>2003.8333259999999</v>
      </c>
      <c r="Y3" s="23">
        <v>2003.916659</v>
      </c>
      <c r="Z3" s="456">
        <v>2003.999992</v>
      </c>
      <c r="AA3" s="456">
        <v>2004.0833250000001</v>
      </c>
      <c r="AB3" s="456">
        <v>2004.1666580000001</v>
      </c>
      <c r="AC3" s="456">
        <v>2004.2499909999999</v>
      </c>
      <c r="AD3" s="456">
        <v>2004.3333239999999</v>
      </c>
      <c r="AE3" s="456">
        <v>2004.416657</v>
      </c>
      <c r="AF3" s="456">
        <v>2004.49999</v>
      </c>
      <c r="AG3" s="456">
        <v>2004.5833230000001</v>
      </c>
      <c r="AH3" s="456">
        <v>2004.6666560000001</v>
      </c>
      <c r="AI3" s="456">
        <v>2004.7499889999999</v>
      </c>
      <c r="AJ3" s="456">
        <v>2004.833322</v>
      </c>
      <c r="AK3" s="456">
        <v>2004.916655</v>
      </c>
      <c r="AL3" s="456">
        <v>2004.999988</v>
      </c>
      <c r="AM3" s="456">
        <v>2005.0833210000001</v>
      </c>
      <c r="AN3" s="456">
        <v>2005.1666540000001</v>
      </c>
      <c r="AO3" s="456">
        <v>2005.2499869999999</v>
      </c>
      <c r="AP3" s="456">
        <v>2005.33332</v>
      </c>
      <c r="AQ3" s="456">
        <v>2005.416653</v>
      </c>
      <c r="AR3" s="456">
        <v>2005.499986</v>
      </c>
      <c r="AS3" s="456">
        <v>2005.5833190000001</v>
      </c>
      <c r="AT3" s="456">
        <v>2005.6666520000001</v>
      </c>
      <c r="AU3" s="456">
        <v>2005.7499849999999</v>
      </c>
      <c r="AV3" s="456">
        <v>2005.833318</v>
      </c>
      <c r="AW3" s="456">
        <v>2005.916651</v>
      </c>
      <c r="AX3" s="456">
        <v>2005.999984</v>
      </c>
      <c r="AY3" s="456">
        <v>2006.0833170000001</v>
      </c>
      <c r="AZ3" s="456">
        <v>2006.1666499999999</v>
      </c>
      <c r="BA3" s="456">
        <v>2006.2499829999999</v>
      </c>
      <c r="BB3" s="456">
        <v>2006.333316</v>
      </c>
      <c r="BC3" s="456">
        <v>2006.416649</v>
      </c>
      <c r="BD3" s="456">
        <v>2006.499982</v>
      </c>
      <c r="BE3" s="456">
        <v>2006.5833150000001</v>
      </c>
      <c r="BF3" s="456">
        <v>2006.6666479999999</v>
      </c>
      <c r="BG3" s="456">
        <v>2006.7499809999999</v>
      </c>
      <c r="BH3" s="456">
        <v>2006.833314</v>
      </c>
      <c r="BI3" s="456">
        <v>2006.916647</v>
      </c>
      <c r="BJ3" s="456">
        <v>2006.9999800000001</v>
      </c>
      <c r="BK3" s="456">
        <v>2007.0833130000001</v>
      </c>
      <c r="BL3" s="456">
        <v>2007.1666459999999</v>
      </c>
      <c r="BM3" s="456">
        <v>2007.2499789999999</v>
      </c>
      <c r="BN3" s="456">
        <v>2007.333312</v>
      </c>
      <c r="BO3" s="456">
        <v>2007.416645</v>
      </c>
      <c r="BP3" s="456">
        <v>2007.4999780000001</v>
      </c>
      <c r="BQ3" s="456">
        <v>2007.5833110000001</v>
      </c>
      <c r="BR3" s="456">
        <v>2007.6666439999999</v>
      </c>
      <c r="BS3" s="456">
        <v>2007.7499769999999</v>
      </c>
      <c r="BT3" s="456">
        <v>2007.83331</v>
      </c>
      <c r="BU3" s="456">
        <v>2007.916643</v>
      </c>
      <c r="BV3" s="456">
        <v>2007.9999760000001</v>
      </c>
      <c r="BW3" s="456">
        <v>2008.0833090000001</v>
      </c>
      <c r="BX3" s="456">
        <v>2008.1666419999999</v>
      </c>
      <c r="BY3" s="456">
        <v>2008.2499749999999</v>
      </c>
      <c r="BZ3" s="456">
        <v>2008.333308</v>
      </c>
      <c r="CA3" s="456">
        <v>2008.416641</v>
      </c>
      <c r="CB3" s="456">
        <v>2008.4999740000001</v>
      </c>
      <c r="CC3" s="456">
        <v>2008.5833070000001</v>
      </c>
      <c r="CD3" s="456">
        <v>2008.6666399999999</v>
      </c>
      <c r="CE3" s="456">
        <v>2008.749973</v>
      </c>
      <c r="CF3" s="456">
        <v>2008.833306</v>
      </c>
      <c r="CG3" s="456">
        <v>2008.916639</v>
      </c>
      <c r="CH3" s="456">
        <v>2008.9999720000001</v>
      </c>
      <c r="CI3" s="456">
        <v>2009.0833050000001</v>
      </c>
      <c r="CJ3" s="456">
        <v>2009.1666379999999</v>
      </c>
      <c r="CK3" s="456">
        <v>2009.249971</v>
      </c>
      <c r="CL3" s="456">
        <v>2009.333304</v>
      </c>
      <c r="CM3" s="456">
        <v>2009.416637</v>
      </c>
      <c r="CN3" s="456">
        <v>2009.4999700000001</v>
      </c>
      <c r="CO3" s="456">
        <v>2009.5833029999999</v>
      </c>
      <c r="CP3" s="456">
        <v>2009.6666359999999</v>
      </c>
      <c r="CQ3" s="456">
        <v>2009.749969</v>
      </c>
      <c r="CR3" s="456">
        <v>2009.833302</v>
      </c>
      <c r="CS3" s="456">
        <v>2009.916635</v>
      </c>
      <c r="CT3" s="456">
        <v>2009.9999680000001</v>
      </c>
      <c r="CU3" s="456">
        <v>2010.0833009999999</v>
      </c>
      <c r="CV3" s="456">
        <v>2010.1666339999999</v>
      </c>
      <c r="CW3" s="456">
        <v>2010.249967</v>
      </c>
      <c r="CX3" s="456">
        <v>2010.3333</v>
      </c>
      <c r="CY3" s="456">
        <v>2010.416633</v>
      </c>
      <c r="CZ3" s="456">
        <v>2010.4999660000001</v>
      </c>
      <c r="DA3" s="456">
        <v>2010.5832989999999</v>
      </c>
      <c r="DB3" s="456">
        <v>2010.6666319999999</v>
      </c>
      <c r="DC3" s="456">
        <v>2010.749965</v>
      </c>
      <c r="DD3" s="456">
        <v>2010.833298</v>
      </c>
      <c r="DE3" s="456">
        <v>2010.9166310000001</v>
      </c>
      <c r="DF3" s="456">
        <v>2010.9999640000001</v>
      </c>
      <c r="DG3" s="456">
        <v>2011.0832969999999</v>
      </c>
      <c r="DH3" s="456">
        <v>2011.1666299999999</v>
      </c>
      <c r="DI3" s="456">
        <v>2011.249963</v>
      </c>
      <c r="DJ3" s="456">
        <v>2011.333296</v>
      </c>
      <c r="DK3" s="456">
        <v>2011.4166290000001</v>
      </c>
      <c r="DL3" s="456">
        <v>2011.4999620000001</v>
      </c>
      <c r="DM3" s="456">
        <v>2011.5832949999999</v>
      </c>
      <c r="DN3" s="456">
        <v>2011.6666279999999</v>
      </c>
      <c r="DO3" s="456">
        <v>2011.749961</v>
      </c>
      <c r="DP3" s="456">
        <v>2011.833294</v>
      </c>
      <c r="DQ3" s="456">
        <v>2011.9166270000001</v>
      </c>
      <c r="DR3" s="456">
        <v>2011.9999600000001</v>
      </c>
      <c r="DS3" s="456">
        <v>2012.0832929999999</v>
      </c>
      <c r="DT3" s="456">
        <v>2012.166626</v>
      </c>
      <c r="DU3" s="456">
        <v>2012.249959</v>
      </c>
      <c r="DV3" s="456">
        <v>2012.333292</v>
      </c>
      <c r="DW3" s="456">
        <v>2012.4166250000001</v>
      </c>
      <c r="DX3" s="456">
        <v>2012.4999580000001</v>
      </c>
      <c r="DY3" s="456">
        <v>2012.5832909999999</v>
      </c>
      <c r="DZ3" s="456">
        <v>2012.666624</v>
      </c>
      <c r="EA3" s="456">
        <v>2012.749957</v>
      </c>
      <c r="EB3" s="456">
        <v>2012.83329</v>
      </c>
      <c r="EC3" s="456">
        <v>2012.9166230000001</v>
      </c>
      <c r="ED3" s="456">
        <v>2012.9999560000001</v>
      </c>
      <c r="EE3" s="456">
        <v>2013.0832889999999</v>
      </c>
      <c r="EF3" s="456">
        <v>2013.166622</v>
      </c>
      <c r="EG3" s="456">
        <v>2013.249955</v>
      </c>
      <c r="EH3" s="456">
        <v>2013.333288</v>
      </c>
      <c r="EI3" s="456">
        <v>2013.4166210000001</v>
      </c>
      <c r="EJ3" s="456">
        <v>2013.4999539999999</v>
      </c>
      <c r="EK3" s="456">
        <v>2013.5832869999999</v>
      </c>
      <c r="EL3" s="456">
        <v>2013.66662</v>
      </c>
      <c r="EM3" s="456">
        <v>2013.749953</v>
      </c>
      <c r="EN3" s="456">
        <v>2013.833286</v>
      </c>
      <c r="EO3" s="456">
        <v>2013.9166190000001</v>
      </c>
      <c r="EP3" s="456">
        <v>2013.9999519999999</v>
      </c>
      <c r="EQ3" s="456">
        <v>2014.0832849999999</v>
      </c>
      <c r="ER3" s="456">
        <v>2014.166618</v>
      </c>
      <c r="ES3" s="456">
        <v>2014.249951</v>
      </c>
      <c r="ET3" s="456">
        <v>2014.333284</v>
      </c>
      <c r="EU3" s="456">
        <v>2014.4166170000001</v>
      </c>
      <c r="EV3" s="456">
        <v>2014.4999499999999</v>
      </c>
      <c r="EW3" s="456">
        <v>2014.5832829999999</v>
      </c>
      <c r="EX3" s="456">
        <v>2014.666616</v>
      </c>
      <c r="EY3" s="456">
        <v>2014.74994900001</v>
      </c>
      <c r="EZ3" s="456">
        <v>2014.8332820000101</v>
      </c>
      <c r="FA3" s="456">
        <v>2014.9166150000101</v>
      </c>
      <c r="FB3" s="456">
        <v>2014.9999480000099</v>
      </c>
      <c r="FC3" s="456">
        <v>2015.0832810000099</v>
      </c>
      <c r="FD3" s="456">
        <v>2015.16661400001</v>
      </c>
      <c r="FE3" s="456">
        <v>2015.24994700001</v>
      </c>
      <c r="FF3" s="456">
        <v>2015.3332800000101</v>
      </c>
      <c r="FG3" s="456">
        <v>2015.4166130000101</v>
      </c>
      <c r="FH3" s="456">
        <v>2015.4999460000099</v>
      </c>
      <c r="FI3" s="456">
        <v>2015.58327900001</v>
      </c>
      <c r="FJ3" s="456">
        <v>2015.66661200001</v>
      </c>
      <c r="FK3" s="456">
        <v>2015.74994500001</v>
      </c>
      <c r="FL3" s="456">
        <v>2015.8332780000101</v>
      </c>
      <c r="FM3" s="456">
        <v>2015.9166110000101</v>
      </c>
      <c r="FN3" s="456">
        <v>2015.9999440000099</v>
      </c>
      <c r="FO3" s="456">
        <v>2016.08327700001</v>
      </c>
      <c r="FP3" s="456">
        <v>2016.16661000001</v>
      </c>
      <c r="FQ3" s="456">
        <v>2016.24994300001</v>
      </c>
      <c r="FR3" s="456">
        <v>2016.3332760000101</v>
      </c>
      <c r="FS3" s="456">
        <v>2016.4166090000101</v>
      </c>
      <c r="FT3" s="456">
        <v>2016.4999420000099</v>
      </c>
      <c r="FU3" s="456">
        <v>2016.58327500001</v>
      </c>
      <c r="FV3" s="456">
        <v>2016.66660800001</v>
      </c>
      <c r="FW3" s="456">
        <v>2016.74994100001</v>
      </c>
      <c r="FX3" s="456">
        <v>2016.8332740000101</v>
      </c>
      <c r="FY3" s="456">
        <v>2016.9166070000099</v>
      </c>
      <c r="FZ3" s="456">
        <v>2016.9999400000099</v>
      </c>
      <c r="GA3" s="456">
        <v>2017.08327300001</v>
      </c>
      <c r="GB3" s="456">
        <v>2017.16660600001</v>
      </c>
      <c r="GC3" s="456">
        <v>2017.24993900001</v>
      </c>
      <c r="GD3" s="456">
        <v>2017.3332720000101</v>
      </c>
      <c r="GE3" s="456">
        <v>2017.4166050000099</v>
      </c>
      <c r="GF3" s="456">
        <v>2017.4999380000099</v>
      </c>
      <c r="GG3" s="456">
        <v>2017.58327100001</v>
      </c>
      <c r="GH3" s="456">
        <v>2017.66660400001</v>
      </c>
      <c r="GI3" s="456">
        <v>2017.74993700001</v>
      </c>
      <c r="GJ3" s="456">
        <v>2017.8332700000101</v>
      </c>
      <c r="GK3" s="456">
        <v>2017.9166030000099</v>
      </c>
      <c r="GL3" s="456">
        <v>2017.9999360000099</v>
      </c>
      <c r="GM3" s="456">
        <v>2018.08326900001</v>
      </c>
      <c r="GN3" s="456">
        <v>2018.16660200001</v>
      </c>
      <c r="GO3" s="456">
        <v>2018.2499350000101</v>
      </c>
      <c r="GP3" s="456">
        <v>2018.3332680000101</v>
      </c>
      <c r="GQ3" s="456">
        <v>2018.4166010000099</v>
      </c>
      <c r="GR3" s="456">
        <v>2018.4999340000099</v>
      </c>
      <c r="GS3" s="456">
        <v>2018.58326700001</v>
      </c>
      <c r="GT3" s="456">
        <v>2018.66660000001</v>
      </c>
      <c r="GU3" s="456">
        <v>2018.7499330000101</v>
      </c>
      <c r="GV3" s="456">
        <v>2018.8332660000101</v>
      </c>
      <c r="GW3" s="456">
        <v>2018.9165990000099</v>
      </c>
      <c r="GX3" s="456">
        <v>2018.9999320000099</v>
      </c>
      <c r="GY3" s="456">
        <v>2019.08326500001</v>
      </c>
      <c r="GZ3" s="456">
        <v>2019.16659800001</v>
      </c>
      <c r="HA3" s="456">
        <v>2019.2499310000101</v>
      </c>
      <c r="HB3" s="456">
        <v>2019.3332640000101</v>
      </c>
      <c r="HC3" s="456">
        <v>2019.4165970000099</v>
      </c>
      <c r="HD3" s="456">
        <v>2019.49993000001</v>
      </c>
      <c r="HE3" s="456">
        <v>2019.58326300001</v>
      </c>
      <c r="HF3" s="456">
        <v>2019.66659600001</v>
      </c>
      <c r="HG3" s="456">
        <v>2019.7499290000101</v>
      </c>
      <c r="HH3" s="456">
        <v>2019.8332620000101</v>
      </c>
      <c r="HI3" s="456">
        <v>2019.9165950000099</v>
      </c>
      <c r="HJ3" s="456">
        <v>2019.99992800001</v>
      </c>
      <c r="HK3" s="456">
        <v>2020.08326100001</v>
      </c>
      <c r="HL3" s="456">
        <v>2020.16659400001</v>
      </c>
      <c r="HM3" s="456">
        <v>2020.2499270000101</v>
      </c>
      <c r="HN3" s="456">
        <v>2020.3332600000099</v>
      </c>
      <c r="HO3" s="456">
        <v>2020.4165930000099</v>
      </c>
      <c r="HP3" s="456">
        <v>2020.49992600001</v>
      </c>
      <c r="HQ3" s="456">
        <v>2020.58325900001</v>
      </c>
      <c r="HR3" s="456">
        <v>2020.66659200001</v>
      </c>
      <c r="HS3" s="456">
        <v>2020.7499250000101</v>
      </c>
      <c r="HT3" s="456">
        <v>2020.8332580000099</v>
      </c>
      <c r="HU3" s="456">
        <v>2020.9165910000099</v>
      </c>
    </row>
    <row r="4" spans="1:306" x14ac:dyDescent="0.25">
      <c r="A4" s="525" t="s">
        <v>50</v>
      </c>
      <c r="B4" s="525"/>
      <c r="C4" s="525"/>
      <c r="D4" s="525"/>
      <c r="E4" s="525"/>
      <c r="F4" s="525"/>
      <c r="G4" s="525"/>
      <c r="H4" s="525"/>
      <c r="I4" s="525"/>
      <c r="J4" s="525"/>
      <c r="K4" s="525"/>
      <c r="L4" s="525"/>
      <c r="M4" s="525">
        <v>0</v>
      </c>
      <c r="N4" s="457">
        <v>57.925266666666701</v>
      </c>
      <c r="O4" s="457">
        <v>411.07412499999998</v>
      </c>
      <c r="P4" s="457">
        <v>983.44249443207104</v>
      </c>
      <c r="Q4" s="457">
        <v>1627.61786387435</v>
      </c>
      <c r="R4" s="457">
        <v>2330.7993576222402</v>
      </c>
      <c r="S4" s="457">
        <v>3035.7949217252399</v>
      </c>
      <c r="T4" s="457">
        <v>3642.2489219576701</v>
      </c>
      <c r="U4" s="457">
        <v>4403.9650411184202</v>
      </c>
      <c r="V4" s="457">
        <v>5556.3090600838404</v>
      </c>
      <c r="W4" s="457">
        <v>6927.9856144238502</v>
      </c>
      <c r="X4" s="457">
        <v>7396.4654238959001</v>
      </c>
      <c r="Y4" s="457">
        <v>8529.0777417322806</v>
      </c>
      <c r="Z4" s="457">
        <v>9681.6059111240193</v>
      </c>
      <c r="AA4" s="457">
        <v>10342.2462898713</v>
      </c>
      <c r="AB4" s="457">
        <v>12338.841187026301</v>
      </c>
      <c r="AC4" s="457">
        <v>13784.791436446199</v>
      </c>
      <c r="AD4" s="457">
        <v>14352.1431837165</v>
      </c>
      <c r="AE4" s="457">
        <v>16289.628132714901</v>
      </c>
      <c r="AF4" s="457">
        <v>17005.626291375302</v>
      </c>
      <c r="AG4" s="457">
        <v>18505.764152884902</v>
      </c>
      <c r="AH4" s="457">
        <v>19851.537585518101</v>
      </c>
      <c r="AI4" s="457">
        <v>21126.3730660127</v>
      </c>
      <c r="AJ4" s="457">
        <v>22311.417785838701</v>
      </c>
      <c r="AK4" s="457">
        <v>23887.635813778899</v>
      </c>
      <c r="AL4" s="457">
        <v>22238.1690059133</v>
      </c>
      <c r="AM4" s="457">
        <v>22887.585878088801</v>
      </c>
      <c r="AN4" s="457">
        <v>25807.829502535798</v>
      </c>
      <c r="AO4" s="457">
        <v>26696.346603382899</v>
      </c>
      <c r="AP4" s="457">
        <v>28524.626668712201</v>
      </c>
      <c r="AQ4" s="457">
        <v>30263.6451095011</v>
      </c>
      <c r="AR4" s="457">
        <v>31123.832945378101</v>
      </c>
      <c r="AS4" s="457">
        <v>32558.114409534101</v>
      </c>
      <c r="AT4" s="457">
        <v>33692.706734383799</v>
      </c>
      <c r="AU4" s="457">
        <v>36044.114056739003</v>
      </c>
      <c r="AV4" s="457">
        <v>37337.742779847104</v>
      </c>
      <c r="AW4" s="457">
        <v>40777.963429652598</v>
      </c>
      <c r="AX4" s="457">
        <v>41806.149686753997</v>
      </c>
      <c r="AY4" s="457">
        <v>42017.595661720799</v>
      </c>
      <c r="AZ4" s="457">
        <v>46811.032293254299</v>
      </c>
      <c r="BA4" s="457">
        <v>46517.184384120599</v>
      </c>
      <c r="BB4" s="457">
        <v>50480.627456010698</v>
      </c>
      <c r="BC4" s="457">
        <v>52415.631968905604</v>
      </c>
      <c r="BD4" s="457">
        <v>53565.107184062799</v>
      </c>
      <c r="BE4" s="457">
        <v>57479.588745147899</v>
      </c>
      <c r="BF4" s="457">
        <v>58380.9353902925</v>
      </c>
      <c r="BG4" s="457">
        <v>61973.898321059598</v>
      </c>
      <c r="BH4" s="457">
        <v>63815.010525920203</v>
      </c>
      <c r="BI4" s="457">
        <v>65108.532011028401</v>
      </c>
      <c r="BJ4" s="457">
        <v>71944.898693460898</v>
      </c>
      <c r="BK4" s="457">
        <v>71462.223070638007</v>
      </c>
      <c r="BL4" s="457">
        <v>80266.083329753397</v>
      </c>
      <c r="BM4" s="457">
        <v>83860.239883240996</v>
      </c>
      <c r="BN4" s="457">
        <v>89538.825530040398</v>
      </c>
      <c r="BO4" s="457">
        <v>91302.835592732095</v>
      </c>
      <c r="BP4" s="457">
        <v>98448.630948548205</v>
      </c>
      <c r="BQ4" s="457">
        <v>102574.940636641</v>
      </c>
      <c r="BR4" s="457">
        <v>102383.392369846</v>
      </c>
      <c r="BS4" s="457">
        <v>112353.157620243</v>
      </c>
      <c r="BT4" s="457">
        <v>114533.732206185</v>
      </c>
      <c r="BU4" s="457">
        <v>117853.12489462701</v>
      </c>
      <c r="BV4" s="457">
        <v>128680.663303555</v>
      </c>
      <c r="BW4" s="457">
        <v>129774.506160844</v>
      </c>
      <c r="BX4" s="457">
        <v>136913.43018607801</v>
      </c>
      <c r="BY4" s="457">
        <v>142039.165864051</v>
      </c>
      <c r="BZ4" s="457">
        <v>147738.86059221</v>
      </c>
      <c r="CA4" s="457">
        <v>148381.05044235499</v>
      </c>
      <c r="CB4" s="457">
        <v>159480.737634169</v>
      </c>
      <c r="CC4" s="457">
        <v>162746.74462017501</v>
      </c>
      <c r="CD4" s="457">
        <v>167721.40348959001</v>
      </c>
      <c r="CE4" s="457">
        <v>176978.28870028499</v>
      </c>
      <c r="CF4" s="457">
        <v>175350.885450987</v>
      </c>
      <c r="CG4" s="457">
        <v>184082.26970208</v>
      </c>
      <c r="CH4" s="457">
        <v>189221.06957374499</v>
      </c>
      <c r="CI4" s="457">
        <v>188840.772538333</v>
      </c>
      <c r="CJ4" s="457">
        <v>201708.86121392</v>
      </c>
      <c r="CK4" s="457">
        <v>203613.70247476001</v>
      </c>
      <c r="CL4" s="457">
        <v>208057.00713061201</v>
      </c>
      <c r="CM4" s="457">
        <v>213874.28513085301</v>
      </c>
      <c r="CN4" s="457">
        <v>220056.497650631</v>
      </c>
      <c r="CO4" s="457">
        <v>220296.61950439101</v>
      </c>
      <c r="CP4" s="457">
        <v>224082.703633364</v>
      </c>
      <c r="CQ4" s="457">
        <v>226040.67968062501</v>
      </c>
      <c r="CR4" s="457">
        <v>224311.010569242</v>
      </c>
      <c r="CS4" s="457">
        <v>235390.54387627699</v>
      </c>
      <c r="CT4" s="457">
        <v>233809.73280876299</v>
      </c>
      <c r="CU4" s="457">
        <v>234532.422156015</v>
      </c>
      <c r="CV4" s="457">
        <v>254548.20862206499</v>
      </c>
      <c r="CW4" s="457">
        <v>252316.18935751799</v>
      </c>
      <c r="CX4" s="457">
        <v>255076.105061254</v>
      </c>
      <c r="CY4" s="457">
        <v>261473.251684588</v>
      </c>
      <c r="CZ4" s="457">
        <v>262009.82491201899</v>
      </c>
      <c r="DA4" s="457">
        <v>267330.34738955199</v>
      </c>
      <c r="DB4" s="457">
        <v>269198.10935932101</v>
      </c>
      <c r="DC4" s="457">
        <v>269177.01363940001</v>
      </c>
      <c r="DD4" s="457">
        <v>275914.15228826401</v>
      </c>
      <c r="DE4" s="457">
        <v>279812.42228722101</v>
      </c>
      <c r="DF4" s="457">
        <v>284707.655369771</v>
      </c>
      <c r="DG4" s="457">
        <v>284986.61936657899</v>
      </c>
      <c r="DH4" s="457">
        <v>304750.77618458198</v>
      </c>
      <c r="DI4" s="457">
        <v>299633.09739516902</v>
      </c>
      <c r="DJ4" s="457">
        <v>308264.779861007</v>
      </c>
      <c r="DK4" s="457">
        <v>314732.10775192903</v>
      </c>
      <c r="DL4" s="457">
        <v>311039.72352326202</v>
      </c>
      <c r="DM4" s="457">
        <v>322902.20680155099</v>
      </c>
      <c r="DN4" s="457">
        <v>321317.43239843298</v>
      </c>
      <c r="DO4" s="457">
        <v>320375.452186885</v>
      </c>
      <c r="DP4" s="457">
        <v>324783.45176639501</v>
      </c>
      <c r="DQ4" s="457">
        <v>321196.40298842301</v>
      </c>
      <c r="DR4" s="457">
        <v>320476.89902010001</v>
      </c>
      <c r="DS4" s="457">
        <v>323835.12104186899</v>
      </c>
      <c r="DT4" s="457">
        <v>335683.059469097</v>
      </c>
      <c r="DU4" s="457">
        <v>329605.928156387</v>
      </c>
      <c r="DV4" s="457">
        <v>338272.44805846998</v>
      </c>
      <c r="DW4" s="457">
        <v>337114.20060194097</v>
      </c>
      <c r="DX4" s="457">
        <v>341051.48979623202</v>
      </c>
      <c r="DY4" s="457">
        <v>350991.381199695</v>
      </c>
      <c r="DZ4" s="457">
        <v>344912.86800055101</v>
      </c>
      <c r="EA4" s="457">
        <v>358863.50514540402</v>
      </c>
      <c r="EB4" s="457">
        <v>356914.07984840602</v>
      </c>
      <c r="EC4" s="457">
        <v>354372.68992516497</v>
      </c>
      <c r="ED4" s="457">
        <v>359125.614318665</v>
      </c>
      <c r="EE4" s="457">
        <v>355713.60695690702</v>
      </c>
      <c r="EF4" s="457">
        <v>369854.98842801602</v>
      </c>
      <c r="EG4" s="457">
        <v>376326.14838103001</v>
      </c>
      <c r="EH4" s="457">
        <v>381037.23754858901</v>
      </c>
      <c r="EI4" s="457">
        <v>374930.905099614</v>
      </c>
      <c r="EJ4" s="457">
        <v>387298.09345244098</v>
      </c>
      <c r="EK4" s="457">
        <v>388047.98282730801</v>
      </c>
      <c r="EL4" s="457">
        <v>383762.45749739802</v>
      </c>
      <c r="EM4" s="457">
        <v>396565.49524993001</v>
      </c>
      <c r="EN4" s="457">
        <v>390007.26245011803</v>
      </c>
      <c r="EO4" s="457">
        <v>396299.42407451099</v>
      </c>
      <c r="EP4" s="457">
        <v>404154.27012737101</v>
      </c>
      <c r="EQ4" s="457">
        <v>400685.82908295601</v>
      </c>
      <c r="ER4" s="457">
        <v>415747.951114789</v>
      </c>
      <c r="ES4" s="457">
        <v>423272.75884088798</v>
      </c>
      <c r="ET4" s="457">
        <v>427504.75584763102</v>
      </c>
      <c r="EU4" s="457">
        <v>423679.73788869299</v>
      </c>
      <c r="EV4" s="457">
        <v>432872.10384571698</v>
      </c>
      <c r="EW4" s="457">
        <v>430606.72436689603</v>
      </c>
      <c r="EX4" s="457">
        <v>435863.84734876303</v>
      </c>
      <c r="EY4" s="457">
        <v>455547.83795433602</v>
      </c>
      <c r="EZ4" s="457">
        <v>447358.471401505</v>
      </c>
      <c r="FA4" s="457">
        <v>464129.32910909801</v>
      </c>
      <c r="FB4" s="457">
        <v>456476.68652527098</v>
      </c>
      <c r="FC4" s="457">
        <v>450088.27730722801</v>
      </c>
      <c r="FD4" s="457">
        <v>470355.536956592</v>
      </c>
      <c r="FE4" s="457">
        <v>471938.58596312098</v>
      </c>
      <c r="FF4" s="457">
        <v>469637.53827542998</v>
      </c>
      <c r="FG4" s="457">
        <v>474244.03923890198</v>
      </c>
      <c r="FH4" s="457">
        <v>477596.631952481</v>
      </c>
      <c r="FI4" s="457">
        <v>472757.86972635001</v>
      </c>
      <c r="FJ4" s="457">
        <v>478071.04768096999</v>
      </c>
      <c r="FK4" s="457">
        <v>485760.75638855097</v>
      </c>
      <c r="FL4" s="457">
        <v>478202.76073121902</v>
      </c>
      <c r="FM4" s="457">
        <v>490937.54745685402</v>
      </c>
      <c r="FN4" s="457">
        <v>492446.19078010297</v>
      </c>
      <c r="FO4" s="457">
        <v>495683.51189857401</v>
      </c>
      <c r="FP4" s="457">
        <v>511119.33771062799</v>
      </c>
      <c r="FQ4" s="457">
        <v>508752.977319317</v>
      </c>
      <c r="FR4" s="457">
        <v>514240.948299015</v>
      </c>
      <c r="FS4" s="457">
        <v>518688.65101547498</v>
      </c>
      <c r="FT4" s="457">
        <v>516279.56377611298</v>
      </c>
      <c r="FU4" s="457">
        <v>528246.19470872602</v>
      </c>
      <c r="FV4" s="457">
        <v>528488.83046643203</v>
      </c>
      <c r="FW4" s="457">
        <v>533765.77438571001</v>
      </c>
      <c r="FX4" s="457">
        <v>539851.44894888299</v>
      </c>
      <c r="FY4" s="457">
        <v>546030.59173778596</v>
      </c>
      <c r="FZ4" s="457">
        <v>542626.56719490897</v>
      </c>
      <c r="GA4" s="457">
        <v>535205.35565640405</v>
      </c>
      <c r="GB4" s="457">
        <v>565675.58197806403</v>
      </c>
      <c r="GC4" s="457">
        <v>556100.55095499801</v>
      </c>
      <c r="GD4" s="457">
        <v>572977.84603135602</v>
      </c>
      <c r="GE4" s="457">
        <v>576020.00275812799</v>
      </c>
      <c r="GF4" s="457">
        <v>569632.50628583902</v>
      </c>
      <c r="GG4" s="457">
        <v>584401.39577169297</v>
      </c>
      <c r="GH4" s="457">
        <v>577616.828682233</v>
      </c>
      <c r="GI4" s="457">
        <v>588345.04858769302</v>
      </c>
      <c r="GJ4" s="457">
        <v>588236.06531748304</v>
      </c>
      <c r="GK4" s="457">
        <v>593159.32928907895</v>
      </c>
      <c r="GL4" s="457">
        <v>606976.27902879799</v>
      </c>
      <c r="GM4" s="457">
        <v>595163.220560599</v>
      </c>
      <c r="GN4" s="457">
        <v>625370.34752898198</v>
      </c>
      <c r="GO4" s="457">
        <v>629060.10747306701</v>
      </c>
      <c r="GP4" s="457">
        <v>644143.95800726302</v>
      </c>
      <c r="GQ4" s="457">
        <v>644690.10107376904</v>
      </c>
      <c r="GR4" s="457">
        <v>647461.58820612903</v>
      </c>
      <c r="GS4" s="457">
        <v>659037.27578248701</v>
      </c>
      <c r="GT4" s="457">
        <v>644690.95787016803</v>
      </c>
      <c r="GU4" s="457">
        <v>665080.86521845299</v>
      </c>
      <c r="GV4" s="457">
        <v>665033.41559820704</v>
      </c>
      <c r="GW4" s="457">
        <v>664512.44009982899</v>
      </c>
      <c r="GX4" s="457">
        <v>690199.60553760803</v>
      </c>
      <c r="GY4" s="457">
        <v>674950.97799122997</v>
      </c>
      <c r="GZ4" s="457">
        <v>700637.54229764198</v>
      </c>
      <c r="HA4" s="457">
        <v>706762.94732553698</v>
      </c>
      <c r="HB4" s="457">
        <v>714581.33162871702</v>
      </c>
      <c r="HC4" s="457">
        <v>705276.21229507297</v>
      </c>
      <c r="HD4" s="457">
        <v>722292.56924043398</v>
      </c>
      <c r="HE4" s="457">
        <v>732919.20176755998</v>
      </c>
      <c r="HF4" s="457">
        <v>724635.94359363103</v>
      </c>
      <c r="HG4" s="457">
        <v>745254.26424087398</v>
      </c>
      <c r="HH4" s="457">
        <v>738413.11204706202</v>
      </c>
      <c r="HI4" s="457">
        <v>747516.08401105599</v>
      </c>
      <c r="HJ4" s="457">
        <v>759210.31174081599</v>
      </c>
      <c r="HK4" s="457">
        <v>750388.46216781205</v>
      </c>
      <c r="HL4" s="457">
        <v>776653.29360596405</v>
      </c>
      <c r="HM4" s="457">
        <v>771929.28618439101</v>
      </c>
      <c r="HN4" s="457">
        <v>783918.57583480596</v>
      </c>
      <c r="HO4" s="457">
        <v>790340.73566675105</v>
      </c>
      <c r="HP4" s="457">
        <v>806831.85968371003</v>
      </c>
      <c r="HQ4" s="457">
        <v>800943.573426647</v>
      </c>
      <c r="HR4" s="457">
        <v>804259.09513311798</v>
      </c>
      <c r="HS4" s="457">
        <v>816810.02485626796</v>
      </c>
      <c r="HT4" s="457">
        <v>800880.65028035501</v>
      </c>
      <c r="HU4" s="457">
        <v>819005.07179124898</v>
      </c>
      <c r="HV4" s="525"/>
      <c r="HW4" s="525"/>
      <c r="HX4" s="525"/>
      <c r="HY4" s="525"/>
      <c r="HZ4" s="525"/>
      <c r="IA4" s="525"/>
      <c r="IB4" s="525"/>
      <c r="IC4" s="525"/>
      <c r="ID4" s="525"/>
      <c r="IE4" s="525"/>
      <c r="IF4" s="525"/>
      <c r="IG4" s="525"/>
      <c r="IH4" s="525"/>
      <c r="II4" s="525"/>
      <c r="IJ4" s="525"/>
      <c r="IK4" s="525"/>
      <c r="IL4" s="525"/>
      <c r="IM4" s="525"/>
      <c r="IN4" s="525"/>
      <c r="IO4" s="525"/>
      <c r="IP4" s="525"/>
      <c r="IQ4" s="525"/>
      <c r="IR4" s="525"/>
      <c r="IS4" s="525"/>
      <c r="IT4" s="525"/>
      <c r="IU4" s="525"/>
      <c r="IV4" s="525"/>
      <c r="IW4" s="525"/>
      <c r="IX4" s="525"/>
      <c r="IY4" s="525"/>
      <c r="IZ4" s="525"/>
      <c r="JA4" s="525"/>
      <c r="JB4" s="525"/>
      <c r="JC4" s="525"/>
      <c r="JD4" s="525"/>
      <c r="JE4" s="525"/>
      <c r="JF4" s="525"/>
      <c r="JG4" s="525"/>
      <c r="JH4" s="525"/>
      <c r="JI4" s="525"/>
      <c r="JJ4" s="525"/>
      <c r="JK4" s="525"/>
      <c r="JL4" s="525"/>
      <c r="JM4" s="525"/>
      <c r="JN4" s="525"/>
      <c r="JO4" s="525"/>
      <c r="JP4" s="525"/>
      <c r="JQ4" s="525"/>
      <c r="JR4" s="525"/>
      <c r="JS4" s="525"/>
      <c r="JT4" s="525"/>
      <c r="JU4" s="525"/>
      <c r="JV4" s="525"/>
      <c r="JW4" s="525"/>
      <c r="JX4" s="525"/>
      <c r="JY4" s="525"/>
      <c r="JZ4" s="525"/>
      <c r="KA4" s="525"/>
      <c r="KB4" s="525"/>
      <c r="KC4" s="525"/>
      <c r="KD4" s="525"/>
      <c r="KE4" s="525"/>
      <c r="KF4" s="525"/>
      <c r="KG4" s="525"/>
      <c r="KH4" s="525"/>
      <c r="KI4" s="525"/>
      <c r="KJ4" s="525"/>
      <c r="KK4" s="525"/>
      <c r="KL4" s="525"/>
      <c r="KM4" s="525"/>
      <c r="KN4" s="525"/>
      <c r="KO4" s="525"/>
      <c r="KP4" s="525"/>
      <c r="KQ4" s="525"/>
      <c r="KR4" s="525"/>
      <c r="KS4" s="525"/>
      <c r="KT4" s="525"/>
    </row>
    <row r="5" spans="1:306" x14ac:dyDescent="0.25">
      <c r="A5" s="525"/>
      <c r="B5" s="525"/>
      <c r="C5" s="525"/>
      <c r="D5" s="525"/>
      <c r="E5" s="525"/>
      <c r="F5" s="525"/>
      <c r="G5" s="525"/>
      <c r="H5" s="525"/>
      <c r="I5" s="525"/>
      <c r="J5" s="525"/>
      <c r="K5" s="525"/>
      <c r="L5" s="525"/>
      <c r="M5" s="525"/>
      <c r="N5" s="525"/>
      <c r="O5" s="525"/>
      <c r="P5" s="525"/>
      <c r="Q5" s="525"/>
      <c r="R5" s="525"/>
      <c r="S5" s="525"/>
      <c r="T5" s="525"/>
      <c r="U5" s="525"/>
      <c r="V5" s="525"/>
      <c r="W5" s="525"/>
      <c r="X5" s="525"/>
      <c r="Y5" s="525"/>
      <c r="Z5" s="525"/>
      <c r="AA5" s="525"/>
      <c r="AB5" s="525"/>
      <c r="AC5" s="525"/>
      <c r="AD5" s="525"/>
      <c r="AE5" s="525"/>
      <c r="AF5" s="525"/>
      <c r="AG5" s="525"/>
      <c r="AH5" s="525"/>
      <c r="AI5" s="525"/>
      <c r="AJ5" s="525"/>
      <c r="AK5" s="525"/>
      <c r="AL5" s="525"/>
      <c r="AM5" s="525"/>
      <c r="AN5" s="525"/>
      <c r="AO5" s="525"/>
      <c r="AP5" s="525"/>
      <c r="AQ5" s="525"/>
      <c r="AR5" s="525"/>
      <c r="AS5" s="525"/>
      <c r="AT5" s="525"/>
      <c r="AU5" s="525"/>
      <c r="AV5" s="525"/>
      <c r="AW5" s="525"/>
      <c r="AX5" s="525"/>
      <c r="AY5" s="525"/>
      <c r="AZ5" s="525"/>
      <c r="BA5" s="525"/>
      <c r="BB5" s="525"/>
      <c r="BC5" s="525"/>
      <c r="BD5" s="525"/>
      <c r="BE5" s="525"/>
      <c r="BF5" s="525"/>
      <c r="BG5" s="525"/>
      <c r="BH5" s="525"/>
      <c r="BI5" s="525"/>
      <c r="BJ5" s="525"/>
      <c r="BK5" s="525"/>
      <c r="BL5" s="525"/>
      <c r="BM5" s="525"/>
      <c r="BN5" s="525"/>
      <c r="BO5" s="525"/>
      <c r="BP5" s="525"/>
      <c r="BQ5" s="525"/>
      <c r="BR5" s="525"/>
      <c r="BS5" s="525"/>
      <c r="BT5" s="525"/>
      <c r="BU5" s="525"/>
      <c r="BV5" s="525"/>
      <c r="BW5" s="525"/>
      <c r="BX5" s="525"/>
      <c r="BY5" s="525"/>
      <c r="BZ5" s="525"/>
      <c r="CA5" s="525"/>
      <c r="CB5" s="525"/>
      <c r="CC5" s="525"/>
      <c r="CD5" s="525"/>
      <c r="CE5" s="525"/>
      <c r="CF5" s="525"/>
      <c r="CG5" s="525"/>
      <c r="CH5" s="525"/>
      <c r="CI5" s="525"/>
      <c r="CJ5" s="525"/>
      <c r="CK5" s="525"/>
      <c r="CL5" s="525"/>
      <c r="CM5" s="525"/>
      <c r="CN5" s="525"/>
      <c r="CO5" s="525"/>
      <c r="CP5" s="525"/>
      <c r="CQ5" s="525"/>
      <c r="CR5" s="525"/>
      <c r="CS5" s="525"/>
      <c r="CT5" s="525"/>
      <c r="CU5" s="525"/>
      <c r="CV5" s="525"/>
      <c r="CW5" s="525"/>
      <c r="CX5" s="525"/>
      <c r="CY5" s="525"/>
      <c r="CZ5" s="525"/>
      <c r="DA5" s="525"/>
      <c r="DB5" s="525"/>
      <c r="DC5" s="525"/>
      <c r="DD5" s="525"/>
      <c r="DE5" s="525"/>
      <c r="DF5" s="525"/>
      <c r="DG5" s="525"/>
      <c r="DH5" s="525"/>
      <c r="DI5" s="525"/>
      <c r="DJ5" s="525"/>
      <c r="DK5" s="525"/>
      <c r="DL5" s="525"/>
      <c r="DM5" s="525"/>
      <c r="DN5" s="525"/>
      <c r="DO5" s="525"/>
      <c r="DP5" s="525"/>
      <c r="DQ5" s="525"/>
      <c r="DR5" s="525"/>
      <c r="DS5" s="525"/>
      <c r="DT5" s="525"/>
      <c r="DU5" s="525"/>
      <c r="DV5" s="525"/>
      <c r="DW5" s="525"/>
      <c r="DX5" s="525"/>
      <c r="DY5" s="525"/>
      <c r="DZ5" s="525"/>
      <c r="EA5" s="525"/>
      <c r="EB5" s="525"/>
      <c r="EC5" s="525"/>
      <c r="ED5" s="525"/>
      <c r="EE5" s="525"/>
      <c r="EF5" s="525"/>
      <c r="EG5" s="525"/>
      <c r="EH5" s="525"/>
      <c r="EI5" s="525"/>
      <c r="EJ5" s="525"/>
      <c r="EK5" s="525"/>
      <c r="EL5" s="525"/>
      <c r="EM5" s="525"/>
      <c r="EN5" s="525"/>
      <c r="EO5" s="525"/>
      <c r="EP5" s="525"/>
      <c r="EQ5" s="525"/>
      <c r="ER5" s="525"/>
      <c r="ES5" s="525"/>
      <c r="ET5" s="525"/>
      <c r="EU5" s="525"/>
      <c r="EV5" s="525"/>
      <c r="EW5" s="525"/>
      <c r="EX5" s="525"/>
      <c r="EY5" s="525"/>
      <c r="EZ5" s="525"/>
      <c r="FA5" s="525"/>
      <c r="FB5" s="525"/>
      <c r="FC5" s="525"/>
      <c r="FD5" s="525"/>
      <c r="FE5" s="525"/>
      <c r="FF5" s="525"/>
      <c r="FG5" s="525"/>
      <c r="FH5" s="525"/>
      <c r="FI5" s="525"/>
      <c r="FJ5" s="525"/>
      <c r="FK5" s="525"/>
      <c r="FL5" s="525"/>
      <c r="FM5" s="525"/>
      <c r="FN5" s="525"/>
      <c r="FO5" s="525"/>
      <c r="FP5" s="525"/>
      <c r="FQ5" s="525"/>
      <c r="FR5" s="525"/>
      <c r="FS5" s="525"/>
      <c r="FT5" s="525"/>
      <c r="FU5" s="525"/>
      <c r="FV5" s="525"/>
      <c r="FW5" s="525"/>
      <c r="FX5" s="525"/>
      <c r="FY5" s="525"/>
      <c r="FZ5" s="525"/>
      <c r="GA5" s="525"/>
      <c r="GB5" s="525"/>
      <c r="GC5" s="525"/>
      <c r="GD5" s="525"/>
      <c r="GE5" s="525"/>
      <c r="GF5" s="525"/>
      <c r="GG5" s="525"/>
      <c r="GH5" s="525"/>
      <c r="GI5" s="525"/>
      <c r="GJ5" s="525"/>
      <c r="GK5" s="525"/>
      <c r="GL5" s="525"/>
      <c r="GM5" s="525"/>
      <c r="GN5" s="525"/>
      <c r="GO5" s="525"/>
      <c r="GP5" s="525"/>
      <c r="GQ5" s="525"/>
      <c r="GR5" s="525"/>
      <c r="GS5" s="525"/>
      <c r="GT5" s="525"/>
      <c r="GU5" s="525"/>
      <c r="GV5" s="525"/>
      <c r="GW5" s="525"/>
      <c r="GX5" s="525"/>
      <c r="GY5" s="525"/>
      <c r="GZ5" s="525"/>
      <c r="HA5" s="525"/>
      <c r="HB5" s="525"/>
      <c r="HC5" s="525"/>
      <c r="HD5" s="525"/>
      <c r="HE5" s="525"/>
      <c r="HF5" s="525"/>
      <c r="HG5" s="525"/>
      <c r="HH5" s="525"/>
      <c r="HI5" s="525"/>
      <c r="HJ5" s="525"/>
      <c r="HK5" s="525"/>
      <c r="HL5" s="525"/>
      <c r="HM5" s="525"/>
      <c r="HN5" s="525"/>
      <c r="HO5" s="525"/>
      <c r="HP5" s="525"/>
      <c r="HQ5" s="525"/>
      <c r="HR5" s="525"/>
      <c r="HS5" s="525"/>
      <c r="HT5" s="525"/>
      <c r="HU5" s="525"/>
      <c r="HV5" s="525"/>
      <c r="HW5" s="525"/>
      <c r="HX5" s="525"/>
      <c r="HY5" s="525"/>
      <c r="HZ5" s="525"/>
      <c r="IA5" s="525"/>
      <c r="IB5" s="525"/>
      <c r="IC5" s="525"/>
      <c r="ID5" s="525"/>
      <c r="IE5" s="525"/>
      <c r="IF5" s="525"/>
      <c r="IG5" s="525"/>
      <c r="IH5" s="525"/>
      <c r="II5" s="525"/>
      <c r="IJ5" s="525"/>
      <c r="IK5" s="525"/>
      <c r="IL5" s="525"/>
      <c r="IM5" s="525"/>
      <c r="IN5" s="525"/>
      <c r="IO5" s="525"/>
      <c r="IP5" s="525"/>
      <c r="IQ5" s="525"/>
      <c r="IR5" s="525"/>
      <c r="IS5" s="525"/>
      <c r="IT5" s="525"/>
      <c r="IU5" s="525"/>
      <c r="IV5" s="525"/>
      <c r="IW5" s="525"/>
      <c r="IX5" s="525"/>
      <c r="IY5" s="525"/>
      <c r="IZ5" s="525"/>
      <c r="JA5" s="525"/>
      <c r="JB5" s="525"/>
      <c r="JC5" s="525"/>
      <c r="JD5" s="525"/>
      <c r="JE5" s="525"/>
      <c r="JF5" s="525"/>
      <c r="JG5" s="525"/>
      <c r="JH5" s="525"/>
      <c r="JI5" s="525"/>
      <c r="JJ5" s="525"/>
      <c r="JK5" s="525"/>
      <c r="JL5" s="525"/>
      <c r="JM5" s="525"/>
      <c r="JN5" s="525"/>
      <c r="JO5" s="525"/>
      <c r="JP5" s="525"/>
      <c r="JQ5" s="525"/>
      <c r="JR5" s="525"/>
      <c r="JS5" s="525"/>
      <c r="JT5" s="525"/>
      <c r="JU5" s="525"/>
      <c r="JV5" s="525"/>
      <c r="JW5" s="525"/>
      <c r="JX5" s="525"/>
      <c r="JY5" s="525"/>
      <c r="JZ5" s="525"/>
      <c r="KA5" s="525"/>
      <c r="KB5" s="525"/>
      <c r="KC5" s="525"/>
      <c r="KD5" s="525"/>
      <c r="KE5" s="525"/>
      <c r="KF5" s="525"/>
      <c r="KG5" s="525"/>
      <c r="KH5" s="525"/>
      <c r="KI5" s="525"/>
      <c r="KJ5" s="525"/>
      <c r="KK5" s="525"/>
      <c r="KL5" s="525"/>
      <c r="KM5" s="525"/>
      <c r="KN5" s="525"/>
      <c r="KO5" s="525"/>
      <c r="KP5" s="525"/>
      <c r="KQ5" s="525"/>
      <c r="KR5" s="525"/>
      <c r="KS5" s="525"/>
      <c r="KT5" s="525"/>
    </row>
    <row r="6" spans="1:306" x14ac:dyDescent="0.25">
      <c r="A6" s="525" t="s">
        <v>51</v>
      </c>
      <c r="B6" s="525"/>
      <c r="C6" s="525"/>
      <c r="D6" s="525"/>
      <c r="E6" s="525"/>
      <c r="F6" s="525"/>
      <c r="G6" s="525"/>
      <c r="H6" s="525"/>
      <c r="I6" s="525"/>
      <c r="J6" s="525"/>
      <c r="K6" s="525"/>
      <c r="L6" s="525"/>
      <c r="M6" s="525"/>
      <c r="N6" s="525"/>
      <c r="O6" s="525"/>
      <c r="P6" s="525">
        <f>INDEX($B$3:$HU$3,MATCH(P$12,$B$3:$HU$3,1))</f>
        <v>2002.8333299999999</v>
      </c>
      <c r="Q6" s="525">
        <f>INDEX($B$3:$HU$3,MATCH(Q$12,$B$3:$HU$3,1))</f>
        <v>2002.916663</v>
      </c>
      <c r="R6" s="525">
        <f>INDEX($B$3:$HU$3,MATCH(R$12,$B$3:$HU$3,1))</f>
        <v>2002.999996</v>
      </c>
      <c r="S6" s="525">
        <f t="shared" ref="S6:CD6" si="0">INDEX($B$3:$HU$3,MATCH(S$12,$B$3:$HU$3,1))</f>
        <v>2002.999996</v>
      </c>
      <c r="T6" s="525">
        <f t="shared" si="0"/>
        <v>2003.083329</v>
      </c>
      <c r="U6" s="525">
        <f t="shared" si="0"/>
        <v>2003.1666620000001</v>
      </c>
      <c r="V6" s="525">
        <f t="shared" si="0"/>
        <v>2003.2499949999999</v>
      </c>
      <c r="W6" s="525">
        <f t="shared" si="0"/>
        <v>2003.2499949999999</v>
      </c>
      <c r="X6" s="525">
        <f t="shared" si="0"/>
        <v>2003.3333279999999</v>
      </c>
      <c r="Y6" s="525">
        <f t="shared" si="0"/>
        <v>2003.416661</v>
      </c>
      <c r="Z6" s="525">
        <f t="shared" si="0"/>
        <v>2003.499994</v>
      </c>
      <c r="AA6" s="525">
        <f t="shared" si="0"/>
        <v>2003.499994</v>
      </c>
      <c r="AB6" s="525">
        <f t="shared" si="0"/>
        <v>2003.5833270000001</v>
      </c>
      <c r="AC6" s="525">
        <f t="shared" si="0"/>
        <v>2003.6666600000001</v>
      </c>
      <c r="AD6" s="525">
        <f t="shared" si="0"/>
        <v>2003.7499929999999</v>
      </c>
      <c r="AE6" s="525">
        <f t="shared" si="0"/>
        <v>2003.7499929999999</v>
      </c>
      <c r="AF6" s="525">
        <f t="shared" si="0"/>
        <v>2003.8333259999999</v>
      </c>
      <c r="AG6" s="525">
        <f t="shared" si="0"/>
        <v>2003.916659</v>
      </c>
      <c r="AH6" s="525">
        <f t="shared" si="0"/>
        <v>2003.999992</v>
      </c>
      <c r="AI6" s="525">
        <f t="shared" si="0"/>
        <v>2003.999992</v>
      </c>
      <c r="AJ6" s="525">
        <f t="shared" si="0"/>
        <v>2004.0833250000001</v>
      </c>
      <c r="AK6" s="525">
        <f t="shared" si="0"/>
        <v>2004.1666580000001</v>
      </c>
      <c r="AL6" s="525">
        <f t="shared" si="0"/>
        <v>2004.2499909999999</v>
      </c>
      <c r="AM6" s="525">
        <f t="shared" si="0"/>
        <v>2004.2499909999999</v>
      </c>
      <c r="AN6" s="525">
        <f t="shared" si="0"/>
        <v>2004.3333239999999</v>
      </c>
      <c r="AO6" s="525">
        <f t="shared" si="0"/>
        <v>2004.416657</v>
      </c>
      <c r="AP6" s="525">
        <f t="shared" si="0"/>
        <v>2004.49999</v>
      </c>
      <c r="AQ6" s="525">
        <f t="shared" si="0"/>
        <v>2004.49999</v>
      </c>
      <c r="AR6" s="525">
        <f t="shared" si="0"/>
        <v>2004.5833230000001</v>
      </c>
      <c r="AS6" s="525">
        <f t="shared" si="0"/>
        <v>2004.6666560000001</v>
      </c>
      <c r="AT6" s="525">
        <f t="shared" si="0"/>
        <v>2004.7499889999999</v>
      </c>
      <c r="AU6" s="525">
        <f t="shared" si="0"/>
        <v>2004.7499889999999</v>
      </c>
      <c r="AV6" s="525">
        <f t="shared" si="0"/>
        <v>2004.833322</v>
      </c>
      <c r="AW6" s="525">
        <f t="shared" si="0"/>
        <v>2004.916655</v>
      </c>
      <c r="AX6" s="525">
        <f t="shared" si="0"/>
        <v>2004.999988</v>
      </c>
      <c r="AY6" s="525">
        <f t="shared" si="0"/>
        <v>2004.999988</v>
      </c>
      <c r="AZ6" s="525">
        <f t="shared" si="0"/>
        <v>2005.0833210000001</v>
      </c>
      <c r="BA6" s="525">
        <f t="shared" si="0"/>
        <v>2005.1666540000001</v>
      </c>
      <c r="BB6" s="525">
        <f t="shared" si="0"/>
        <v>2005.2499869999999</v>
      </c>
      <c r="BC6" s="525">
        <f t="shared" si="0"/>
        <v>2005.2499869999999</v>
      </c>
      <c r="BD6" s="525">
        <f t="shared" si="0"/>
        <v>2005.33332</v>
      </c>
      <c r="BE6" s="525">
        <f t="shared" si="0"/>
        <v>2005.416653</v>
      </c>
      <c r="BF6" s="525">
        <f t="shared" si="0"/>
        <v>2005.499986</v>
      </c>
      <c r="BG6" s="525">
        <f t="shared" si="0"/>
        <v>2005.499986</v>
      </c>
      <c r="BH6" s="525">
        <f t="shared" si="0"/>
        <v>2005.5833190000001</v>
      </c>
      <c r="BI6" s="525">
        <f t="shared" si="0"/>
        <v>2005.6666520000001</v>
      </c>
      <c r="BJ6" s="525">
        <f t="shared" si="0"/>
        <v>2005.7499849999999</v>
      </c>
      <c r="BK6" s="525">
        <f t="shared" si="0"/>
        <v>2005.7499849999999</v>
      </c>
      <c r="BL6" s="525">
        <f t="shared" si="0"/>
        <v>2005.833318</v>
      </c>
      <c r="BM6" s="525">
        <f t="shared" si="0"/>
        <v>2005.916651</v>
      </c>
      <c r="BN6" s="525">
        <f t="shared" si="0"/>
        <v>2005.999984</v>
      </c>
      <c r="BO6" s="525">
        <f t="shared" si="0"/>
        <v>2005.999984</v>
      </c>
      <c r="BP6" s="525">
        <f t="shared" si="0"/>
        <v>2006.0833170000001</v>
      </c>
      <c r="BQ6" s="525">
        <f t="shared" si="0"/>
        <v>2006.1666499999999</v>
      </c>
      <c r="BR6" s="525">
        <f t="shared" si="0"/>
        <v>2006.2499829999999</v>
      </c>
      <c r="BS6" s="525">
        <f t="shared" si="0"/>
        <v>2006.2499829999999</v>
      </c>
      <c r="BT6" s="525">
        <f t="shared" si="0"/>
        <v>2006.333316</v>
      </c>
      <c r="BU6" s="525">
        <f t="shared" si="0"/>
        <v>2006.416649</v>
      </c>
      <c r="BV6" s="525">
        <f t="shared" si="0"/>
        <v>2006.499982</v>
      </c>
      <c r="BW6" s="525">
        <f t="shared" si="0"/>
        <v>2006.499982</v>
      </c>
      <c r="BX6" s="525">
        <f t="shared" si="0"/>
        <v>2006.5833150000001</v>
      </c>
      <c r="BY6" s="525">
        <f t="shared" si="0"/>
        <v>2006.6666479999999</v>
      </c>
      <c r="BZ6" s="525">
        <f t="shared" si="0"/>
        <v>2006.7499809999999</v>
      </c>
      <c r="CA6" s="525">
        <f t="shared" si="0"/>
        <v>2006.7499809999999</v>
      </c>
      <c r="CB6" s="525">
        <f t="shared" si="0"/>
        <v>2006.833314</v>
      </c>
      <c r="CC6" s="525">
        <f t="shared" si="0"/>
        <v>2006.916647</v>
      </c>
      <c r="CD6" s="525">
        <f t="shared" si="0"/>
        <v>2006.9999800000001</v>
      </c>
      <c r="CE6" s="525">
        <f t="shared" ref="CE6:EP6" si="1">INDEX($B$3:$HU$3,MATCH(CE$12,$B$3:$HU$3,1))</f>
        <v>2006.9999800000001</v>
      </c>
      <c r="CF6" s="525">
        <f t="shared" si="1"/>
        <v>2007.0833130000001</v>
      </c>
      <c r="CG6" s="525">
        <f t="shared" si="1"/>
        <v>2007.1666459999999</v>
      </c>
      <c r="CH6" s="525">
        <f t="shared" si="1"/>
        <v>2007.2499789999999</v>
      </c>
      <c r="CI6" s="525">
        <f t="shared" si="1"/>
        <v>2007.2499789999999</v>
      </c>
      <c r="CJ6" s="525">
        <f t="shared" si="1"/>
        <v>2007.333312</v>
      </c>
      <c r="CK6" s="525">
        <f t="shared" si="1"/>
        <v>2007.416645</v>
      </c>
      <c r="CL6" s="525">
        <f t="shared" si="1"/>
        <v>2007.4999780000001</v>
      </c>
      <c r="CM6" s="525">
        <f t="shared" si="1"/>
        <v>2007.4999780000001</v>
      </c>
      <c r="CN6" s="525">
        <f t="shared" si="1"/>
        <v>2007.5833110000001</v>
      </c>
      <c r="CO6" s="525">
        <f t="shared" si="1"/>
        <v>2007.6666439999999</v>
      </c>
      <c r="CP6" s="525">
        <f t="shared" si="1"/>
        <v>2007.7499769999999</v>
      </c>
      <c r="CQ6" s="525">
        <f t="shared" si="1"/>
        <v>2007.7499769999999</v>
      </c>
      <c r="CR6" s="525">
        <f t="shared" si="1"/>
        <v>2007.83331</v>
      </c>
      <c r="CS6" s="525">
        <f t="shared" si="1"/>
        <v>2007.916643</v>
      </c>
      <c r="CT6" s="525">
        <f t="shared" si="1"/>
        <v>2007.9999760000001</v>
      </c>
      <c r="CU6" s="525">
        <f t="shared" si="1"/>
        <v>2007.9999760000001</v>
      </c>
      <c r="CV6" s="525">
        <f t="shared" si="1"/>
        <v>2008.0833090000001</v>
      </c>
      <c r="CW6" s="525">
        <f t="shared" si="1"/>
        <v>2008.1666419999999</v>
      </c>
      <c r="CX6" s="525">
        <f t="shared" si="1"/>
        <v>2008.2499749999999</v>
      </c>
      <c r="CY6" s="525">
        <f t="shared" si="1"/>
        <v>2008.2499749999999</v>
      </c>
      <c r="CZ6" s="525">
        <f t="shared" si="1"/>
        <v>2008.333308</v>
      </c>
      <c r="DA6" s="525">
        <f t="shared" si="1"/>
        <v>2008.416641</v>
      </c>
      <c r="DB6" s="525">
        <f t="shared" si="1"/>
        <v>2008.4999740000001</v>
      </c>
      <c r="DC6" s="525">
        <f t="shared" si="1"/>
        <v>2008.4999740000001</v>
      </c>
      <c r="DD6" s="525">
        <f t="shared" si="1"/>
        <v>2008.5833070000001</v>
      </c>
      <c r="DE6" s="525">
        <f t="shared" si="1"/>
        <v>2008.6666399999999</v>
      </c>
      <c r="DF6" s="525">
        <f t="shared" si="1"/>
        <v>2008.749973</v>
      </c>
      <c r="DG6" s="525">
        <f t="shared" si="1"/>
        <v>2008.749973</v>
      </c>
      <c r="DH6" s="525">
        <f t="shared" si="1"/>
        <v>2008.833306</v>
      </c>
      <c r="DI6" s="525">
        <f t="shared" si="1"/>
        <v>2008.916639</v>
      </c>
      <c r="DJ6" s="525">
        <f t="shared" si="1"/>
        <v>2008.9999720000001</v>
      </c>
      <c r="DK6" s="525">
        <f t="shared" si="1"/>
        <v>2008.9999720000001</v>
      </c>
      <c r="DL6" s="525">
        <f t="shared" si="1"/>
        <v>2009.0833050000001</v>
      </c>
      <c r="DM6" s="525">
        <f t="shared" si="1"/>
        <v>2009.1666379999999</v>
      </c>
      <c r="DN6" s="525">
        <f t="shared" si="1"/>
        <v>2009.249971</v>
      </c>
      <c r="DO6" s="525">
        <f t="shared" si="1"/>
        <v>2009.249971</v>
      </c>
      <c r="DP6" s="525">
        <f t="shared" si="1"/>
        <v>2009.333304</v>
      </c>
      <c r="DQ6" s="525">
        <f t="shared" si="1"/>
        <v>2009.416637</v>
      </c>
      <c r="DR6" s="525">
        <f t="shared" si="1"/>
        <v>2009.4999700000001</v>
      </c>
      <c r="DS6" s="525">
        <f t="shared" si="1"/>
        <v>2009.4999700000001</v>
      </c>
      <c r="DT6" s="525">
        <f t="shared" si="1"/>
        <v>2009.5833029999999</v>
      </c>
      <c r="DU6" s="525">
        <f t="shared" si="1"/>
        <v>2009.6666359999999</v>
      </c>
      <c r="DV6" s="525">
        <f t="shared" si="1"/>
        <v>2009.749969</v>
      </c>
      <c r="DW6" s="525">
        <f t="shared" si="1"/>
        <v>2009.749969</v>
      </c>
      <c r="DX6" s="525">
        <f t="shared" si="1"/>
        <v>2009.833302</v>
      </c>
      <c r="DY6" s="525">
        <f t="shared" si="1"/>
        <v>2009.916635</v>
      </c>
      <c r="DZ6" s="525">
        <f t="shared" si="1"/>
        <v>2009.9999680000001</v>
      </c>
      <c r="EA6" s="525">
        <f t="shared" si="1"/>
        <v>2009.9999680000001</v>
      </c>
      <c r="EB6" s="525">
        <f t="shared" si="1"/>
        <v>2010.0833009999999</v>
      </c>
      <c r="EC6" s="525">
        <f t="shared" si="1"/>
        <v>2010.1666339999999</v>
      </c>
      <c r="ED6" s="525">
        <f t="shared" si="1"/>
        <v>2010.249967</v>
      </c>
      <c r="EE6" s="525">
        <f t="shared" si="1"/>
        <v>2010.249967</v>
      </c>
      <c r="EF6" s="525">
        <f t="shared" si="1"/>
        <v>2010.3333</v>
      </c>
      <c r="EG6" s="525">
        <f t="shared" si="1"/>
        <v>2010.416633</v>
      </c>
      <c r="EH6" s="525">
        <f t="shared" si="1"/>
        <v>2010.4999660000001</v>
      </c>
      <c r="EI6" s="525">
        <f t="shared" si="1"/>
        <v>2010.4999660000001</v>
      </c>
      <c r="EJ6" s="525">
        <f t="shared" si="1"/>
        <v>2010.5832989999999</v>
      </c>
      <c r="EK6" s="525">
        <f t="shared" si="1"/>
        <v>2010.6666319999999</v>
      </c>
      <c r="EL6" s="525">
        <f t="shared" si="1"/>
        <v>2010.749965</v>
      </c>
      <c r="EM6" s="525">
        <f t="shared" si="1"/>
        <v>2010.749965</v>
      </c>
      <c r="EN6" s="525">
        <f t="shared" si="1"/>
        <v>2010.833298</v>
      </c>
      <c r="EO6" s="525">
        <f t="shared" si="1"/>
        <v>2010.9166310000001</v>
      </c>
      <c r="EP6" s="525">
        <f t="shared" si="1"/>
        <v>2010.9999640000001</v>
      </c>
      <c r="EQ6" s="525">
        <f t="shared" ref="EQ6:HB6" si="2">INDEX($B$3:$HU$3,MATCH(EQ$12,$B$3:$HU$3,1))</f>
        <v>2010.9999640000001</v>
      </c>
      <c r="ER6" s="525">
        <f t="shared" si="2"/>
        <v>2011.0832969999999</v>
      </c>
      <c r="ES6" s="525">
        <f t="shared" si="2"/>
        <v>2011.1666299999999</v>
      </c>
      <c r="ET6" s="525">
        <f t="shared" si="2"/>
        <v>2011.249963</v>
      </c>
      <c r="EU6" s="525">
        <f t="shared" si="2"/>
        <v>2011.249963</v>
      </c>
      <c r="EV6" s="525">
        <f t="shared" si="2"/>
        <v>2011.333296</v>
      </c>
      <c r="EW6" s="525">
        <f t="shared" si="2"/>
        <v>2011.4166290000001</v>
      </c>
      <c r="EX6" s="525">
        <f t="shared" si="2"/>
        <v>2011.4999620000001</v>
      </c>
      <c r="EY6" s="525">
        <f t="shared" si="2"/>
        <v>2011.4999620000001</v>
      </c>
      <c r="EZ6" s="525">
        <f t="shared" si="2"/>
        <v>2011.5832949999999</v>
      </c>
      <c r="FA6" s="525">
        <f t="shared" si="2"/>
        <v>2011.6666279999999</v>
      </c>
      <c r="FB6" s="525">
        <f t="shared" si="2"/>
        <v>2011.749961</v>
      </c>
      <c r="FC6" s="525">
        <f t="shared" si="2"/>
        <v>2011.749961</v>
      </c>
      <c r="FD6" s="525">
        <f t="shared" si="2"/>
        <v>2011.833294</v>
      </c>
      <c r="FE6" s="525">
        <f t="shared" si="2"/>
        <v>2011.9166270000001</v>
      </c>
      <c r="FF6" s="525">
        <f t="shared" si="2"/>
        <v>2011.9999600000001</v>
      </c>
      <c r="FG6" s="525">
        <f t="shared" si="2"/>
        <v>2011.9999600000001</v>
      </c>
      <c r="FH6" s="525">
        <f t="shared" si="2"/>
        <v>2012.0832929999999</v>
      </c>
      <c r="FI6" s="525">
        <f t="shared" si="2"/>
        <v>2012.166626</v>
      </c>
      <c r="FJ6" s="525">
        <f t="shared" si="2"/>
        <v>2012.249959</v>
      </c>
      <c r="FK6" s="525">
        <f t="shared" si="2"/>
        <v>2012.249959</v>
      </c>
      <c r="FL6" s="525">
        <f t="shared" si="2"/>
        <v>2012.333292</v>
      </c>
      <c r="FM6" s="525">
        <f t="shared" si="2"/>
        <v>2012.4166250000001</v>
      </c>
      <c r="FN6" s="525">
        <f t="shared" si="2"/>
        <v>2012.4999580000001</v>
      </c>
      <c r="FO6" s="525">
        <f t="shared" si="2"/>
        <v>2012.4999580000001</v>
      </c>
      <c r="FP6" s="525">
        <f t="shared" si="2"/>
        <v>2012.5832909999999</v>
      </c>
      <c r="FQ6" s="525">
        <f t="shared" si="2"/>
        <v>2012.666624</v>
      </c>
      <c r="FR6" s="525">
        <f t="shared" si="2"/>
        <v>2012.749957</v>
      </c>
      <c r="FS6" s="525">
        <f t="shared" si="2"/>
        <v>2012.749957</v>
      </c>
      <c r="FT6" s="525">
        <f t="shared" si="2"/>
        <v>2012.83329</v>
      </c>
      <c r="FU6" s="525">
        <f t="shared" si="2"/>
        <v>2012.9166230000001</v>
      </c>
      <c r="FV6" s="525">
        <f t="shared" si="2"/>
        <v>2012.9999560000001</v>
      </c>
      <c r="FW6" s="525">
        <f t="shared" si="2"/>
        <v>2012.9999560000001</v>
      </c>
      <c r="FX6" s="525">
        <f t="shared" si="2"/>
        <v>2013.0832889999999</v>
      </c>
      <c r="FY6" s="525">
        <f t="shared" si="2"/>
        <v>2013.166622</v>
      </c>
      <c r="FZ6" s="525">
        <f t="shared" si="2"/>
        <v>2013.249955</v>
      </c>
      <c r="GA6" s="525">
        <f t="shared" si="2"/>
        <v>2013.249955</v>
      </c>
      <c r="GB6" s="525">
        <f t="shared" si="2"/>
        <v>2013.333288</v>
      </c>
      <c r="GC6" s="525">
        <f t="shared" si="2"/>
        <v>2013.4166210000001</v>
      </c>
      <c r="GD6" s="525">
        <f t="shared" si="2"/>
        <v>2013.4999539999999</v>
      </c>
      <c r="GE6" s="525">
        <f t="shared" si="2"/>
        <v>2013.4999539999999</v>
      </c>
      <c r="GF6" s="525">
        <f t="shared" si="2"/>
        <v>2013.5832869999999</v>
      </c>
      <c r="GG6" s="525">
        <f t="shared" si="2"/>
        <v>2013.66662</v>
      </c>
      <c r="GH6" s="525">
        <f t="shared" si="2"/>
        <v>2013.749953</v>
      </c>
      <c r="GI6" s="525">
        <f t="shared" si="2"/>
        <v>2013.749953</v>
      </c>
      <c r="GJ6" s="525">
        <f t="shared" si="2"/>
        <v>2013.833286</v>
      </c>
      <c r="GK6" s="525">
        <f t="shared" si="2"/>
        <v>2013.9166190000001</v>
      </c>
      <c r="GL6" s="525">
        <f t="shared" si="2"/>
        <v>2013.9999519999999</v>
      </c>
      <c r="GM6" s="525">
        <f t="shared" si="2"/>
        <v>2013.9999519999999</v>
      </c>
      <c r="GN6" s="525">
        <f t="shared" si="2"/>
        <v>2014.0832849999999</v>
      </c>
      <c r="GO6" s="525">
        <f t="shared" si="2"/>
        <v>2014.166618</v>
      </c>
      <c r="GP6" s="525">
        <f t="shared" si="2"/>
        <v>2014.249951</v>
      </c>
      <c r="GQ6" s="525">
        <f t="shared" si="2"/>
        <v>2014.249951</v>
      </c>
      <c r="GR6" s="525">
        <f t="shared" si="2"/>
        <v>2014.333284</v>
      </c>
      <c r="GS6" s="525">
        <f t="shared" si="2"/>
        <v>2014.4166170000001</v>
      </c>
      <c r="GT6" s="525">
        <f t="shared" si="2"/>
        <v>2014.4999499999999</v>
      </c>
      <c r="GU6" s="525">
        <f t="shared" si="2"/>
        <v>2014.4999499999999</v>
      </c>
      <c r="GV6" s="525">
        <f t="shared" si="2"/>
        <v>2014.5832829999999</v>
      </c>
      <c r="GW6" s="525">
        <f t="shared" si="2"/>
        <v>2014.666616</v>
      </c>
      <c r="GX6" s="525">
        <f t="shared" si="2"/>
        <v>2014.74994900001</v>
      </c>
      <c r="GY6" s="525">
        <f t="shared" si="2"/>
        <v>2014.74994900001</v>
      </c>
      <c r="GZ6" s="525">
        <f t="shared" si="2"/>
        <v>2014.8332820000101</v>
      </c>
      <c r="HA6" s="525">
        <f t="shared" si="2"/>
        <v>2014.9166150000101</v>
      </c>
      <c r="HB6" s="525">
        <f t="shared" si="2"/>
        <v>2014.9999480000099</v>
      </c>
      <c r="HC6" s="525">
        <f t="shared" ref="HC6:JO6" si="3">INDEX($B$3:$HU$3,MATCH(HC$12,$B$3:$HU$3,1))</f>
        <v>2014.9999480000099</v>
      </c>
      <c r="HD6" s="525">
        <f t="shared" si="3"/>
        <v>2015.0832810000099</v>
      </c>
      <c r="HE6" s="525">
        <f t="shared" si="3"/>
        <v>2015.16661400001</v>
      </c>
      <c r="HF6" s="525">
        <f t="shared" si="3"/>
        <v>2015.24994700001</v>
      </c>
      <c r="HG6" s="525">
        <f t="shared" si="3"/>
        <v>2015.24994700001</v>
      </c>
      <c r="HH6" s="525">
        <f t="shared" si="3"/>
        <v>2015.3332800000101</v>
      </c>
      <c r="HI6" s="525">
        <f t="shared" si="3"/>
        <v>2015.4166130000101</v>
      </c>
      <c r="HJ6" s="525">
        <f t="shared" si="3"/>
        <v>2015.4999460000099</v>
      </c>
      <c r="HK6" s="525">
        <f t="shared" si="3"/>
        <v>2015.4999460000099</v>
      </c>
      <c r="HL6" s="525">
        <f t="shared" si="3"/>
        <v>2015.58327900001</v>
      </c>
      <c r="HM6" s="525">
        <f t="shared" si="3"/>
        <v>2015.66661200001</v>
      </c>
      <c r="HN6" s="525">
        <f t="shared" si="3"/>
        <v>2015.74994500001</v>
      </c>
      <c r="HO6" s="525">
        <f t="shared" si="3"/>
        <v>2015.74994500001</v>
      </c>
      <c r="HP6" s="525">
        <f t="shared" si="3"/>
        <v>2015.8332780000101</v>
      </c>
      <c r="HQ6" s="525">
        <f t="shared" si="3"/>
        <v>2015.9166110000101</v>
      </c>
      <c r="HR6" s="525">
        <f t="shared" si="3"/>
        <v>2015.9999440000099</v>
      </c>
      <c r="HS6" s="525">
        <f t="shared" si="3"/>
        <v>2015.9999440000099</v>
      </c>
      <c r="HT6" s="525">
        <f t="shared" si="3"/>
        <v>2016.08327700001</v>
      </c>
      <c r="HU6" s="525">
        <f t="shared" si="3"/>
        <v>2016.16661000001</v>
      </c>
      <c r="HV6" s="525">
        <f t="shared" si="3"/>
        <v>2016.24994300001</v>
      </c>
      <c r="HW6" s="525">
        <f t="shared" si="3"/>
        <v>2016.24994300001</v>
      </c>
      <c r="HX6" s="525">
        <f t="shared" si="3"/>
        <v>2016.3332760000101</v>
      </c>
      <c r="HY6" s="525">
        <f t="shared" si="3"/>
        <v>2016.4166090000101</v>
      </c>
      <c r="HZ6" s="525">
        <f t="shared" si="3"/>
        <v>2016.4999420000099</v>
      </c>
      <c r="IA6" s="525">
        <f t="shared" si="3"/>
        <v>2016.4999420000099</v>
      </c>
      <c r="IB6" s="525">
        <f t="shared" si="3"/>
        <v>2016.58327500001</v>
      </c>
      <c r="IC6" s="525">
        <f t="shared" si="3"/>
        <v>2016.66660800001</v>
      </c>
      <c r="ID6" s="525">
        <f t="shared" si="3"/>
        <v>2016.74994100001</v>
      </c>
      <c r="IE6" s="525">
        <f t="shared" si="3"/>
        <v>2016.74994100001</v>
      </c>
      <c r="IF6" s="525">
        <f t="shared" si="3"/>
        <v>2016.8332740000101</v>
      </c>
      <c r="IG6" s="525">
        <f t="shared" si="3"/>
        <v>2016.9166070000099</v>
      </c>
      <c r="IH6" s="525">
        <f t="shared" si="3"/>
        <v>2016.9999400000099</v>
      </c>
      <c r="II6" s="525">
        <f t="shared" si="3"/>
        <v>2016.9999400000099</v>
      </c>
      <c r="IJ6" s="525">
        <f t="shared" si="3"/>
        <v>2017.08327300001</v>
      </c>
      <c r="IK6" s="525">
        <f t="shared" si="3"/>
        <v>2017.16660600001</v>
      </c>
      <c r="IL6" s="525">
        <f t="shared" si="3"/>
        <v>2017.24993900001</v>
      </c>
      <c r="IM6" s="525">
        <f t="shared" si="3"/>
        <v>2017.24993900001</v>
      </c>
      <c r="IN6" s="525">
        <f t="shared" si="3"/>
        <v>2017.3332720000101</v>
      </c>
      <c r="IO6" s="525">
        <f t="shared" si="3"/>
        <v>2017.4166050000099</v>
      </c>
      <c r="IP6" s="525">
        <f t="shared" si="3"/>
        <v>2017.4999380000099</v>
      </c>
      <c r="IQ6" s="525">
        <f t="shared" si="3"/>
        <v>2017.4999380000099</v>
      </c>
      <c r="IR6" s="525">
        <f t="shared" si="3"/>
        <v>2017.58327100001</v>
      </c>
      <c r="IS6" s="525">
        <f t="shared" si="3"/>
        <v>2017.66660400001</v>
      </c>
      <c r="IT6" s="525">
        <f t="shared" si="3"/>
        <v>2017.74993700001</v>
      </c>
      <c r="IU6" s="525">
        <f t="shared" si="3"/>
        <v>2017.74993700001</v>
      </c>
      <c r="IV6" s="525">
        <f t="shared" si="3"/>
        <v>2017.8332700000101</v>
      </c>
      <c r="IW6" s="525">
        <f t="shared" si="3"/>
        <v>2017.9166030000099</v>
      </c>
      <c r="IX6" s="525">
        <f t="shared" si="3"/>
        <v>2017.9999360000099</v>
      </c>
      <c r="IY6" s="525">
        <f t="shared" si="3"/>
        <v>2017.9999360000099</v>
      </c>
      <c r="IZ6" s="525">
        <f t="shared" si="3"/>
        <v>2018.08326900001</v>
      </c>
      <c r="JA6" s="525">
        <f t="shared" si="3"/>
        <v>2018.16660200001</v>
      </c>
      <c r="JB6" s="525">
        <f t="shared" si="3"/>
        <v>2018.2499350000101</v>
      </c>
      <c r="JC6" s="525">
        <f t="shared" si="3"/>
        <v>2018.2499350000101</v>
      </c>
      <c r="JD6" s="525">
        <f t="shared" si="3"/>
        <v>2018.3332680000101</v>
      </c>
      <c r="JE6" s="525">
        <f t="shared" si="3"/>
        <v>2018.4166010000099</v>
      </c>
      <c r="JF6" s="525">
        <f t="shared" si="3"/>
        <v>2018.4999340000099</v>
      </c>
      <c r="JG6" s="525">
        <f t="shared" si="3"/>
        <v>2018.4999340000099</v>
      </c>
      <c r="JH6" s="525">
        <f t="shared" si="3"/>
        <v>2018.58326700001</v>
      </c>
      <c r="JI6" s="525">
        <f t="shared" si="3"/>
        <v>2018.66660000001</v>
      </c>
      <c r="JJ6" s="525">
        <f t="shared" si="3"/>
        <v>2018.7499330000101</v>
      </c>
      <c r="JK6" s="525">
        <f t="shared" si="3"/>
        <v>2018.7499330000101</v>
      </c>
      <c r="JL6" s="525">
        <f t="shared" si="3"/>
        <v>2018.8332660000101</v>
      </c>
      <c r="JM6" s="525">
        <f t="shared" si="3"/>
        <v>2018.9165990000099</v>
      </c>
      <c r="JN6" s="525">
        <f t="shared" si="3"/>
        <v>2018.9999320000099</v>
      </c>
      <c r="JO6" s="525">
        <f t="shared" si="3"/>
        <v>2018.9999320000099</v>
      </c>
      <c r="JP6" s="525">
        <f t="shared" ref="JP6:KT6" si="4">INDEX($B$3:$HU$3,MATCH(JP$12,$B$3:$HU$3,1))</f>
        <v>2019.08326500001</v>
      </c>
      <c r="JQ6" s="525">
        <f t="shared" si="4"/>
        <v>2019.16659800001</v>
      </c>
      <c r="JR6" s="525">
        <f t="shared" si="4"/>
        <v>2019.2499310000101</v>
      </c>
      <c r="JS6" s="525">
        <f t="shared" si="4"/>
        <v>2019.2499310000101</v>
      </c>
      <c r="JT6" s="525">
        <f t="shared" si="4"/>
        <v>2019.3332640000101</v>
      </c>
      <c r="JU6" s="525">
        <f t="shared" si="4"/>
        <v>2019.4165970000099</v>
      </c>
      <c r="JV6" s="525">
        <f t="shared" si="4"/>
        <v>2019.49993000001</v>
      </c>
      <c r="JW6" s="525">
        <f t="shared" si="4"/>
        <v>2019.49993000001</v>
      </c>
      <c r="JX6" s="525">
        <f t="shared" si="4"/>
        <v>2019.58326300001</v>
      </c>
      <c r="JY6" s="525">
        <f t="shared" si="4"/>
        <v>2019.66659600001</v>
      </c>
      <c r="JZ6" s="525">
        <f t="shared" si="4"/>
        <v>2019.7499290000101</v>
      </c>
      <c r="KA6" s="525">
        <f t="shared" si="4"/>
        <v>2019.7499290000101</v>
      </c>
      <c r="KB6" s="525">
        <f t="shared" si="4"/>
        <v>2019.8332620000101</v>
      </c>
      <c r="KC6" s="525">
        <f t="shared" si="4"/>
        <v>2019.9165950000099</v>
      </c>
      <c r="KD6" s="525">
        <f t="shared" si="4"/>
        <v>2019.99992800001</v>
      </c>
      <c r="KE6" s="525">
        <f t="shared" si="4"/>
        <v>2019.99992800001</v>
      </c>
      <c r="KF6" s="525">
        <f t="shared" si="4"/>
        <v>2020.08326100001</v>
      </c>
      <c r="KG6" s="525">
        <f t="shared" si="4"/>
        <v>2020.16659400001</v>
      </c>
      <c r="KH6" s="525">
        <f t="shared" si="4"/>
        <v>2020.2499270000101</v>
      </c>
      <c r="KI6" s="525">
        <f t="shared" si="4"/>
        <v>2020.2499270000101</v>
      </c>
      <c r="KJ6" s="525">
        <f t="shared" si="4"/>
        <v>2020.3332600000099</v>
      </c>
      <c r="KK6" s="525">
        <f t="shared" si="4"/>
        <v>2020.4165930000099</v>
      </c>
      <c r="KL6" s="525">
        <f t="shared" si="4"/>
        <v>2020.49992600001</v>
      </c>
      <c r="KM6" s="525">
        <f t="shared" si="4"/>
        <v>2020.49992600001</v>
      </c>
      <c r="KN6" s="525">
        <f t="shared" si="4"/>
        <v>2020.58325900001</v>
      </c>
      <c r="KO6" s="525">
        <f t="shared" si="4"/>
        <v>2020.66659200001</v>
      </c>
      <c r="KP6" s="525">
        <f t="shared" si="4"/>
        <v>2020.7499250000101</v>
      </c>
      <c r="KQ6" s="525">
        <f t="shared" si="4"/>
        <v>2020.7499250000101</v>
      </c>
      <c r="KR6" s="525">
        <f t="shared" si="4"/>
        <v>2020.8332580000099</v>
      </c>
      <c r="KS6" s="525">
        <f t="shared" si="4"/>
        <v>2020.9165910000099</v>
      </c>
      <c r="KT6" s="525">
        <f t="shared" si="4"/>
        <v>2020.9165910000099</v>
      </c>
    </row>
    <row r="7" spans="1:306" x14ac:dyDescent="0.25">
      <c r="A7" s="525" t="s">
        <v>52</v>
      </c>
      <c r="B7" s="525"/>
      <c r="C7" s="525"/>
      <c r="D7" s="525"/>
      <c r="E7" s="525"/>
      <c r="F7" s="525"/>
      <c r="G7" s="525"/>
      <c r="H7" s="525"/>
      <c r="I7" s="525"/>
      <c r="J7" s="525"/>
      <c r="K7" s="525"/>
      <c r="L7" s="525"/>
      <c r="M7" s="525"/>
      <c r="N7" s="525"/>
      <c r="O7" s="525"/>
      <c r="P7" s="525">
        <f>INDEX($B$3:$HU$3,MATCH(P$12,$B$3:$HU$3,1)+1)</f>
        <v>2002.916663</v>
      </c>
      <c r="Q7" s="525">
        <f>INDEX($B$3:$HU$3,MATCH(Q$12,$B$3:$HU$3,1)+1)</f>
        <v>2002.999996</v>
      </c>
      <c r="R7" s="525">
        <f>INDEX($B$3:$HU$3,MATCH(R$12,$B$3:$HU$3,1)+1)</f>
        <v>2003.083329</v>
      </c>
      <c r="S7" s="525">
        <f t="shared" ref="S7:CD7" si="5">INDEX($B$3:$HU$3,MATCH(S$12,$B$3:$HU$3,1)+1)</f>
        <v>2003.083329</v>
      </c>
      <c r="T7" s="525">
        <f t="shared" si="5"/>
        <v>2003.1666620000001</v>
      </c>
      <c r="U7" s="525">
        <f t="shared" si="5"/>
        <v>2003.2499949999999</v>
      </c>
      <c r="V7" s="525">
        <f t="shared" si="5"/>
        <v>2003.3333279999999</v>
      </c>
      <c r="W7" s="525">
        <f t="shared" si="5"/>
        <v>2003.3333279999999</v>
      </c>
      <c r="X7" s="525">
        <f t="shared" si="5"/>
        <v>2003.416661</v>
      </c>
      <c r="Y7" s="525">
        <f t="shared" si="5"/>
        <v>2003.499994</v>
      </c>
      <c r="Z7" s="525">
        <f t="shared" si="5"/>
        <v>2003.5833270000001</v>
      </c>
      <c r="AA7" s="525">
        <f t="shared" si="5"/>
        <v>2003.5833270000001</v>
      </c>
      <c r="AB7" s="525">
        <f t="shared" si="5"/>
        <v>2003.6666600000001</v>
      </c>
      <c r="AC7" s="525">
        <f t="shared" si="5"/>
        <v>2003.7499929999999</v>
      </c>
      <c r="AD7" s="525">
        <f t="shared" si="5"/>
        <v>2003.8333259999999</v>
      </c>
      <c r="AE7" s="525">
        <f t="shared" si="5"/>
        <v>2003.8333259999999</v>
      </c>
      <c r="AF7" s="525">
        <f t="shared" si="5"/>
        <v>2003.916659</v>
      </c>
      <c r="AG7" s="525">
        <f t="shared" si="5"/>
        <v>2003.999992</v>
      </c>
      <c r="AH7" s="525">
        <f t="shared" si="5"/>
        <v>2004.0833250000001</v>
      </c>
      <c r="AI7" s="525">
        <f t="shared" si="5"/>
        <v>2004.0833250000001</v>
      </c>
      <c r="AJ7" s="525">
        <f t="shared" si="5"/>
        <v>2004.1666580000001</v>
      </c>
      <c r="AK7" s="525">
        <f t="shared" si="5"/>
        <v>2004.2499909999999</v>
      </c>
      <c r="AL7" s="525">
        <f t="shared" si="5"/>
        <v>2004.3333239999999</v>
      </c>
      <c r="AM7" s="525">
        <f t="shared" si="5"/>
        <v>2004.3333239999999</v>
      </c>
      <c r="AN7" s="525">
        <f t="shared" si="5"/>
        <v>2004.416657</v>
      </c>
      <c r="AO7" s="525">
        <f t="shared" si="5"/>
        <v>2004.49999</v>
      </c>
      <c r="AP7" s="525">
        <f t="shared" si="5"/>
        <v>2004.5833230000001</v>
      </c>
      <c r="AQ7" s="525">
        <f t="shared" si="5"/>
        <v>2004.5833230000001</v>
      </c>
      <c r="AR7" s="525">
        <f t="shared" si="5"/>
        <v>2004.6666560000001</v>
      </c>
      <c r="AS7" s="525">
        <f t="shared" si="5"/>
        <v>2004.7499889999999</v>
      </c>
      <c r="AT7" s="525">
        <f t="shared" si="5"/>
        <v>2004.833322</v>
      </c>
      <c r="AU7" s="525">
        <f t="shared" si="5"/>
        <v>2004.833322</v>
      </c>
      <c r="AV7" s="525">
        <f t="shared" si="5"/>
        <v>2004.916655</v>
      </c>
      <c r="AW7" s="525">
        <f t="shared" si="5"/>
        <v>2004.999988</v>
      </c>
      <c r="AX7" s="525">
        <f t="shared" si="5"/>
        <v>2005.0833210000001</v>
      </c>
      <c r="AY7" s="525">
        <f t="shared" si="5"/>
        <v>2005.0833210000001</v>
      </c>
      <c r="AZ7" s="525">
        <f t="shared" si="5"/>
        <v>2005.1666540000001</v>
      </c>
      <c r="BA7" s="525">
        <f t="shared" si="5"/>
        <v>2005.2499869999999</v>
      </c>
      <c r="BB7" s="525">
        <f t="shared" si="5"/>
        <v>2005.33332</v>
      </c>
      <c r="BC7" s="525">
        <f t="shared" si="5"/>
        <v>2005.33332</v>
      </c>
      <c r="BD7" s="525">
        <f t="shared" si="5"/>
        <v>2005.416653</v>
      </c>
      <c r="BE7" s="525">
        <f t="shared" si="5"/>
        <v>2005.499986</v>
      </c>
      <c r="BF7" s="525">
        <f t="shared" si="5"/>
        <v>2005.5833190000001</v>
      </c>
      <c r="BG7" s="525">
        <f t="shared" si="5"/>
        <v>2005.5833190000001</v>
      </c>
      <c r="BH7" s="525">
        <f t="shared" si="5"/>
        <v>2005.6666520000001</v>
      </c>
      <c r="BI7" s="525">
        <f t="shared" si="5"/>
        <v>2005.7499849999999</v>
      </c>
      <c r="BJ7" s="525">
        <f t="shared" si="5"/>
        <v>2005.833318</v>
      </c>
      <c r="BK7" s="525">
        <f t="shared" si="5"/>
        <v>2005.833318</v>
      </c>
      <c r="BL7" s="525">
        <f t="shared" si="5"/>
        <v>2005.916651</v>
      </c>
      <c r="BM7" s="525">
        <f t="shared" si="5"/>
        <v>2005.999984</v>
      </c>
      <c r="BN7" s="525">
        <f t="shared" si="5"/>
        <v>2006.0833170000001</v>
      </c>
      <c r="BO7" s="525">
        <f t="shared" si="5"/>
        <v>2006.0833170000001</v>
      </c>
      <c r="BP7" s="525">
        <f t="shared" si="5"/>
        <v>2006.1666499999999</v>
      </c>
      <c r="BQ7" s="525">
        <f t="shared" si="5"/>
        <v>2006.2499829999999</v>
      </c>
      <c r="BR7" s="525">
        <f t="shared" si="5"/>
        <v>2006.333316</v>
      </c>
      <c r="BS7" s="525">
        <f t="shared" si="5"/>
        <v>2006.333316</v>
      </c>
      <c r="BT7" s="525">
        <f t="shared" si="5"/>
        <v>2006.416649</v>
      </c>
      <c r="BU7" s="525">
        <f t="shared" si="5"/>
        <v>2006.499982</v>
      </c>
      <c r="BV7" s="525">
        <f t="shared" si="5"/>
        <v>2006.5833150000001</v>
      </c>
      <c r="BW7" s="525">
        <f t="shared" si="5"/>
        <v>2006.5833150000001</v>
      </c>
      <c r="BX7" s="525">
        <f t="shared" si="5"/>
        <v>2006.6666479999999</v>
      </c>
      <c r="BY7" s="525">
        <f t="shared" si="5"/>
        <v>2006.7499809999999</v>
      </c>
      <c r="BZ7" s="525">
        <f t="shared" si="5"/>
        <v>2006.833314</v>
      </c>
      <c r="CA7" s="525">
        <f t="shared" si="5"/>
        <v>2006.833314</v>
      </c>
      <c r="CB7" s="525">
        <f t="shared" si="5"/>
        <v>2006.916647</v>
      </c>
      <c r="CC7" s="525">
        <f t="shared" si="5"/>
        <v>2006.9999800000001</v>
      </c>
      <c r="CD7" s="525">
        <f t="shared" si="5"/>
        <v>2007.0833130000001</v>
      </c>
      <c r="CE7" s="525">
        <f t="shared" ref="CE7:EP7" si="6">INDEX($B$3:$HU$3,MATCH(CE$12,$B$3:$HU$3,1)+1)</f>
        <v>2007.0833130000001</v>
      </c>
      <c r="CF7" s="525">
        <f t="shared" si="6"/>
        <v>2007.1666459999999</v>
      </c>
      <c r="CG7" s="525">
        <f t="shared" si="6"/>
        <v>2007.2499789999999</v>
      </c>
      <c r="CH7" s="525">
        <f t="shared" si="6"/>
        <v>2007.333312</v>
      </c>
      <c r="CI7" s="525">
        <f t="shared" si="6"/>
        <v>2007.333312</v>
      </c>
      <c r="CJ7" s="525">
        <f t="shared" si="6"/>
        <v>2007.416645</v>
      </c>
      <c r="CK7" s="525">
        <f t="shared" si="6"/>
        <v>2007.4999780000001</v>
      </c>
      <c r="CL7" s="525">
        <f t="shared" si="6"/>
        <v>2007.5833110000001</v>
      </c>
      <c r="CM7" s="525">
        <f t="shared" si="6"/>
        <v>2007.5833110000001</v>
      </c>
      <c r="CN7" s="525">
        <f t="shared" si="6"/>
        <v>2007.6666439999999</v>
      </c>
      <c r="CO7" s="525">
        <f t="shared" si="6"/>
        <v>2007.7499769999999</v>
      </c>
      <c r="CP7" s="525">
        <f t="shared" si="6"/>
        <v>2007.83331</v>
      </c>
      <c r="CQ7" s="525">
        <f t="shared" si="6"/>
        <v>2007.83331</v>
      </c>
      <c r="CR7" s="525">
        <f t="shared" si="6"/>
        <v>2007.916643</v>
      </c>
      <c r="CS7" s="525">
        <f t="shared" si="6"/>
        <v>2007.9999760000001</v>
      </c>
      <c r="CT7" s="525">
        <f t="shared" si="6"/>
        <v>2008.0833090000001</v>
      </c>
      <c r="CU7" s="525">
        <f t="shared" si="6"/>
        <v>2008.0833090000001</v>
      </c>
      <c r="CV7" s="525">
        <f t="shared" si="6"/>
        <v>2008.1666419999999</v>
      </c>
      <c r="CW7" s="525">
        <f t="shared" si="6"/>
        <v>2008.2499749999999</v>
      </c>
      <c r="CX7" s="525">
        <f t="shared" si="6"/>
        <v>2008.333308</v>
      </c>
      <c r="CY7" s="525">
        <f t="shared" si="6"/>
        <v>2008.333308</v>
      </c>
      <c r="CZ7" s="525">
        <f t="shared" si="6"/>
        <v>2008.416641</v>
      </c>
      <c r="DA7" s="525">
        <f t="shared" si="6"/>
        <v>2008.4999740000001</v>
      </c>
      <c r="DB7" s="525">
        <f t="shared" si="6"/>
        <v>2008.5833070000001</v>
      </c>
      <c r="DC7" s="525">
        <f t="shared" si="6"/>
        <v>2008.5833070000001</v>
      </c>
      <c r="DD7" s="525">
        <f t="shared" si="6"/>
        <v>2008.6666399999999</v>
      </c>
      <c r="DE7" s="525">
        <f t="shared" si="6"/>
        <v>2008.749973</v>
      </c>
      <c r="DF7" s="525">
        <f t="shared" si="6"/>
        <v>2008.833306</v>
      </c>
      <c r="DG7" s="525">
        <f t="shared" si="6"/>
        <v>2008.833306</v>
      </c>
      <c r="DH7" s="525">
        <f t="shared" si="6"/>
        <v>2008.916639</v>
      </c>
      <c r="DI7" s="525">
        <f t="shared" si="6"/>
        <v>2008.9999720000001</v>
      </c>
      <c r="DJ7" s="525">
        <f t="shared" si="6"/>
        <v>2009.0833050000001</v>
      </c>
      <c r="DK7" s="525">
        <f t="shared" si="6"/>
        <v>2009.0833050000001</v>
      </c>
      <c r="DL7" s="525">
        <f t="shared" si="6"/>
        <v>2009.1666379999999</v>
      </c>
      <c r="DM7" s="525">
        <f t="shared" si="6"/>
        <v>2009.249971</v>
      </c>
      <c r="DN7" s="525">
        <f t="shared" si="6"/>
        <v>2009.333304</v>
      </c>
      <c r="DO7" s="525">
        <f t="shared" si="6"/>
        <v>2009.333304</v>
      </c>
      <c r="DP7" s="525">
        <f t="shared" si="6"/>
        <v>2009.416637</v>
      </c>
      <c r="DQ7" s="525">
        <f t="shared" si="6"/>
        <v>2009.4999700000001</v>
      </c>
      <c r="DR7" s="525">
        <f t="shared" si="6"/>
        <v>2009.5833029999999</v>
      </c>
      <c r="DS7" s="525">
        <f t="shared" si="6"/>
        <v>2009.5833029999999</v>
      </c>
      <c r="DT7" s="525">
        <f t="shared" si="6"/>
        <v>2009.6666359999999</v>
      </c>
      <c r="DU7" s="525">
        <f t="shared" si="6"/>
        <v>2009.749969</v>
      </c>
      <c r="DV7" s="525">
        <f t="shared" si="6"/>
        <v>2009.833302</v>
      </c>
      <c r="DW7" s="525">
        <f t="shared" si="6"/>
        <v>2009.833302</v>
      </c>
      <c r="DX7" s="525">
        <f t="shared" si="6"/>
        <v>2009.916635</v>
      </c>
      <c r="DY7" s="525">
        <f t="shared" si="6"/>
        <v>2009.9999680000001</v>
      </c>
      <c r="DZ7" s="525">
        <f t="shared" si="6"/>
        <v>2010.0833009999999</v>
      </c>
      <c r="EA7" s="525">
        <f t="shared" si="6"/>
        <v>2010.0833009999999</v>
      </c>
      <c r="EB7" s="525">
        <f t="shared" si="6"/>
        <v>2010.1666339999999</v>
      </c>
      <c r="EC7" s="525">
        <f t="shared" si="6"/>
        <v>2010.249967</v>
      </c>
      <c r="ED7" s="525">
        <f t="shared" si="6"/>
        <v>2010.3333</v>
      </c>
      <c r="EE7" s="525">
        <f t="shared" si="6"/>
        <v>2010.3333</v>
      </c>
      <c r="EF7" s="525">
        <f t="shared" si="6"/>
        <v>2010.416633</v>
      </c>
      <c r="EG7" s="525">
        <f t="shared" si="6"/>
        <v>2010.4999660000001</v>
      </c>
      <c r="EH7" s="525">
        <f t="shared" si="6"/>
        <v>2010.5832989999999</v>
      </c>
      <c r="EI7" s="525">
        <f t="shared" si="6"/>
        <v>2010.5832989999999</v>
      </c>
      <c r="EJ7" s="525">
        <f t="shared" si="6"/>
        <v>2010.6666319999999</v>
      </c>
      <c r="EK7" s="525">
        <f t="shared" si="6"/>
        <v>2010.749965</v>
      </c>
      <c r="EL7" s="525">
        <f t="shared" si="6"/>
        <v>2010.833298</v>
      </c>
      <c r="EM7" s="525">
        <f t="shared" si="6"/>
        <v>2010.833298</v>
      </c>
      <c r="EN7" s="525">
        <f t="shared" si="6"/>
        <v>2010.9166310000001</v>
      </c>
      <c r="EO7" s="525">
        <f t="shared" si="6"/>
        <v>2010.9999640000001</v>
      </c>
      <c r="EP7" s="525">
        <f t="shared" si="6"/>
        <v>2011.0832969999999</v>
      </c>
      <c r="EQ7" s="525">
        <f t="shared" ref="EQ7:HB7" si="7">INDEX($B$3:$HU$3,MATCH(EQ$12,$B$3:$HU$3,1)+1)</f>
        <v>2011.0832969999999</v>
      </c>
      <c r="ER7" s="525">
        <f t="shared" si="7"/>
        <v>2011.1666299999999</v>
      </c>
      <c r="ES7" s="525">
        <f t="shared" si="7"/>
        <v>2011.249963</v>
      </c>
      <c r="ET7" s="525">
        <f t="shared" si="7"/>
        <v>2011.333296</v>
      </c>
      <c r="EU7" s="525">
        <f t="shared" si="7"/>
        <v>2011.333296</v>
      </c>
      <c r="EV7" s="525">
        <f t="shared" si="7"/>
        <v>2011.4166290000001</v>
      </c>
      <c r="EW7" s="525">
        <f t="shared" si="7"/>
        <v>2011.4999620000001</v>
      </c>
      <c r="EX7" s="525">
        <f t="shared" si="7"/>
        <v>2011.5832949999999</v>
      </c>
      <c r="EY7" s="525">
        <f t="shared" si="7"/>
        <v>2011.5832949999999</v>
      </c>
      <c r="EZ7" s="525">
        <f t="shared" si="7"/>
        <v>2011.6666279999999</v>
      </c>
      <c r="FA7" s="525">
        <f t="shared" si="7"/>
        <v>2011.749961</v>
      </c>
      <c r="FB7" s="525">
        <f t="shared" si="7"/>
        <v>2011.833294</v>
      </c>
      <c r="FC7" s="525">
        <f t="shared" si="7"/>
        <v>2011.833294</v>
      </c>
      <c r="FD7" s="525">
        <f t="shared" si="7"/>
        <v>2011.9166270000001</v>
      </c>
      <c r="FE7" s="525">
        <f t="shared" si="7"/>
        <v>2011.9999600000001</v>
      </c>
      <c r="FF7" s="525">
        <f t="shared" si="7"/>
        <v>2012.0832929999999</v>
      </c>
      <c r="FG7" s="525">
        <f t="shared" si="7"/>
        <v>2012.0832929999999</v>
      </c>
      <c r="FH7" s="525">
        <f t="shared" si="7"/>
        <v>2012.166626</v>
      </c>
      <c r="FI7" s="525">
        <f t="shared" si="7"/>
        <v>2012.249959</v>
      </c>
      <c r="FJ7" s="525">
        <f t="shared" si="7"/>
        <v>2012.333292</v>
      </c>
      <c r="FK7" s="525">
        <f t="shared" si="7"/>
        <v>2012.333292</v>
      </c>
      <c r="FL7" s="525">
        <f t="shared" si="7"/>
        <v>2012.4166250000001</v>
      </c>
      <c r="FM7" s="525">
        <f t="shared" si="7"/>
        <v>2012.4999580000001</v>
      </c>
      <c r="FN7" s="525">
        <f t="shared" si="7"/>
        <v>2012.5832909999999</v>
      </c>
      <c r="FO7" s="525">
        <f t="shared" si="7"/>
        <v>2012.5832909999999</v>
      </c>
      <c r="FP7" s="525">
        <f t="shared" si="7"/>
        <v>2012.666624</v>
      </c>
      <c r="FQ7" s="525">
        <f t="shared" si="7"/>
        <v>2012.749957</v>
      </c>
      <c r="FR7" s="525">
        <f t="shared" si="7"/>
        <v>2012.83329</v>
      </c>
      <c r="FS7" s="525">
        <f t="shared" si="7"/>
        <v>2012.83329</v>
      </c>
      <c r="FT7" s="525">
        <f t="shared" si="7"/>
        <v>2012.9166230000001</v>
      </c>
      <c r="FU7" s="525">
        <f t="shared" si="7"/>
        <v>2012.9999560000001</v>
      </c>
      <c r="FV7" s="525">
        <f t="shared" si="7"/>
        <v>2013.0832889999999</v>
      </c>
      <c r="FW7" s="525">
        <f t="shared" si="7"/>
        <v>2013.0832889999999</v>
      </c>
      <c r="FX7" s="525">
        <f t="shared" si="7"/>
        <v>2013.166622</v>
      </c>
      <c r="FY7" s="525">
        <f t="shared" si="7"/>
        <v>2013.249955</v>
      </c>
      <c r="FZ7" s="525">
        <f t="shared" si="7"/>
        <v>2013.333288</v>
      </c>
      <c r="GA7" s="525">
        <f t="shared" si="7"/>
        <v>2013.333288</v>
      </c>
      <c r="GB7" s="525">
        <f t="shared" si="7"/>
        <v>2013.4166210000001</v>
      </c>
      <c r="GC7" s="525">
        <f t="shared" si="7"/>
        <v>2013.4999539999999</v>
      </c>
      <c r="GD7" s="525">
        <f t="shared" si="7"/>
        <v>2013.5832869999999</v>
      </c>
      <c r="GE7" s="525">
        <f t="shared" si="7"/>
        <v>2013.5832869999999</v>
      </c>
      <c r="GF7" s="525">
        <f t="shared" si="7"/>
        <v>2013.66662</v>
      </c>
      <c r="GG7" s="525">
        <f t="shared" si="7"/>
        <v>2013.749953</v>
      </c>
      <c r="GH7" s="525">
        <f t="shared" si="7"/>
        <v>2013.833286</v>
      </c>
      <c r="GI7" s="525">
        <f t="shared" si="7"/>
        <v>2013.833286</v>
      </c>
      <c r="GJ7" s="525">
        <f t="shared" si="7"/>
        <v>2013.9166190000001</v>
      </c>
      <c r="GK7" s="525">
        <f t="shared" si="7"/>
        <v>2013.9999519999999</v>
      </c>
      <c r="GL7" s="525">
        <f t="shared" si="7"/>
        <v>2014.0832849999999</v>
      </c>
      <c r="GM7" s="525">
        <f t="shared" si="7"/>
        <v>2014.0832849999999</v>
      </c>
      <c r="GN7" s="525">
        <f t="shared" si="7"/>
        <v>2014.166618</v>
      </c>
      <c r="GO7" s="525">
        <f t="shared" si="7"/>
        <v>2014.249951</v>
      </c>
      <c r="GP7" s="525">
        <f t="shared" si="7"/>
        <v>2014.333284</v>
      </c>
      <c r="GQ7" s="525">
        <f t="shared" si="7"/>
        <v>2014.333284</v>
      </c>
      <c r="GR7" s="525">
        <f t="shared" si="7"/>
        <v>2014.4166170000001</v>
      </c>
      <c r="GS7" s="525">
        <f t="shared" si="7"/>
        <v>2014.4999499999999</v>
      </c>
      <c r="GT7" s="525">
        <f t="shared" si="7"/>
        <v>2014.5832829999999</v>
      </c>
      <c r="GU7" s="525">
        <f t="shared" si="7"/>
        <v>2014.5832829999999</v>
      </c>
      <c r="GV7" s="525">
        <f t="shared" si="7"/>
        <v>2014.666616</v>
      </c>
      <c r="GW7" s="525">
        <f t="shared" si="7"/>
        <v>2014.74994900001</v>
      </c>
      <c r="GX7" s="525">
        <f t="shared" si="7"/>
        <v>2014.8332820000101</v>
      </c>
      <c r="GY7" s="525">
        <f t="shared" si="7"/>
        <v>2014.8332820000101</v>
      </c>
      <c r="GZ7" s="525">
        <f t="shared" si="7"/>
        <v>2014.9166150000101</v>
      </c>
      <c r="HA7" s="525">
        <f t="shared" si="7"/>
        <v>2014.9999480000099</v>
      </c>
      <c r="HB7" s="525">
        <f t="shared" si="7"/>
        <v>2015.0832810000099</v>
      </c>
      <c r="HC7" s="525">
        <f t="shared" ref="HC7:JO7" si="8">INDEX($B$3:$HU$3,MATCH(HC$12,$B$3:$HU$3,1)+1)</f>
        <v>2015.0832810000099</v>
      </c>
      <c r="HD7" s="525">
        <f t="shared" si="8"/>
        <v>2015.16661400001</v>
      </c>
      <c r="HE7" s="525">
        <f t="shared" si="8"/>
        <v>2015.24994700001</v>
      </c>
      <c r="HF7" s="525">
        <f t="shared" si="8"/>
        <v>2015.3332800000101</v>
      </c>
      <c r="HG7" s="525">
        <f t="shared" si="8"/>
        <v>2015.3332800000101</v>
      </c>
      <c r="HH7" s="525">
        <f t="shared" si="8"/>
        <v>2015.4166130000101</v>
      </c>
      <c r="HI7" s="525">
        <f t="shared" si="8"/>
        <v>2015.4999460000099</v>
      </c>
      <c r="HJ7" s="525">
        <f t="shared" si="8"/>
        <v>2015.58327900001</v>
      </c>
      <c r="HK7" s="525">
        <f t="shared" si="8"/>
        <v>2015.58327900001</v>
      </c>
      <c r="HL7" s="525">
        <f t="shared" si="8"/>
        <v>2015.66661200001</v>
      </c>
      <c r="HM7" s="525">
        <f t="shared" si="8"/>
        <v>2015.74994500001</v>
      </c>
      <c r="HN7" s="525">
        <f t="shared" si="8"/>
        <v>2015.8332780000101</v>
      </c>
      <c r="HO7" s="525">
        <f t="shared" si="8"/>
        <v>2015.8332780000101</v>
      </c>
      <c r="HP7" s="525">
        <f t="shared" si="8"/>
        <v>2015.9166110000101</v>
      </c>
      <c r="HQ7" s="525">
        <f t="shared" si="8"/>
        <v>2015.9999440000099</v>
      </c>
      <c r="HR7" s="525">
        <f t="shared" si="8"/>
        <v>2016.08327700001</v>
      </c>
      <c r="HS7" s="525">
        <f t="shared" si="8"/>
        <v>2016.08327700001</v>
      </c>
      <c r="HT7" s="525">
        <f t="shared" si="8"/>
        <v>2016.16661000001</v>
      </c>
      <c r="HU7" s="525">
        <f t="shared" si="8"/>
        <v>2016.24994300001</v>
      </c>
      <c r="HV7" s="525">
        <f t="shared" si="8"/>
        <v>2016.3332760000101</v>
      </c>
      <c r="HW7" s="525">
        <f t="shared" si="8"/>
        <v>2016.3332760000101</v>
      </c>
      <c r="HX7" s="525">
        <f t="shared" si="8"/>
        <v>2016.4166090000101</v>
      </c>
      <c r="HY7" s="525">
        <f t="shared" si="8"/>
        <v>2016.4999420000099</v>
      </c>
      <c r="HZ7" s="525">
        <f t="shared" si="8"/>
        <v>2016.58327500001</v>
      </c>
      <c r="IA7" s="525">
        <f t="shared" si="8"/>
        <v>2016.58327500001</v>
      </c>
      <c r="IB7" s="525">
        <f t="shared" si="8"/>
        <v>2016.66660800001</v>
      </c>
      <c r="IC7" s="525">
        <f t="shared" si="8"/>
        <v>2016.74994100001</v>
      </c>
      <c r="ID7" s="525">
        <f t="shared" si="8"/>
        <v>2016.8332740000101</v>
      </c>
      <c r="IE7" s="525">
        <f t="shared" si="8"/>
        <v>2016.8332740000101</v>
      </c>
      <c r="IF7" s="525">
        <f t="shared" si="8"/>
        <v>2016.9166070000099</v>
      </c>
      <c r="IG7" s="525">
        <f t="shared" si="8"/>
        <v>2016.9999400000099</v>
      </c>
      <c r="IH7" s="525">
        <f t="shared" si="8"/>
        <v>2017.08327300001</v>
      </c>
      <c r="II7" s="525">
        <f t="shared" si="8"/>
        <v>2017.08327300001</v>
      </c>
      <c r="IJ7" s="525">
        <f t="shared" si="8"/>
        <v>2017.16660600001</v>
      </c>
      <c r="IK7" s="525">
        <f t="shared" si="8"/>
        <v>2017.24993900001</v>
      </c>
      <c r="IL7" s="525">
        <f t="shared" si="8"/>
        <v>2017.3332720000101</v>
      </c>
      <c r="IM7" s="525">
        <f t="shared" si="8"/>
        <v>2017.3332720000101</v>
      </c>
      <c r="IN7" s="525">
        <f t="shared" si="8"/>
        <v>2017.4166050000099</v>
      </c>
      <c r="IO7" s="525">
        <f t="shared" si="8"/>
        <v>2017.4999380000099</v>
      </c>
      <c r="IP7" s="525">
        <f t="shared" si="8"/>
        <v>2017.58327100001</v>
      </c>
      <c r="IQ7" s="525">
        <f t="shared" si="8"/>
        <v>2017.58327100001</v>
      </c>
      <c r="IR7" s="525">
        <f t="shared" si="8"/>
        <v>2017.66660400001</v>
      </c>
      <c r="IS7" s="525">
        <f t="shared" si="8"/>
        <v>2017.74993700001</v>
      </c>
      <c r="IT7" s="525">
        <f t="shared" si="8"/>
        <v>2017.8332700000101</v>
      </c>
      <c r="IU7" s="525">
        <f t="shared" si="8"/>
        <v>2017.8332700000101</v>
      </c>
      <c r="IV7" s="525">
        <f t="shared" si="8"/>
        <v>2017.9166030000099</v>
      </c>
      <c r="IW7" s="525">
        <f t="shared" si="8"/>
        <v>2017.9999360000099</v>
      </c>
      <c r="IX7" s="525">
        <f t="shared" si="8"/>
        <v>2018.08326900001</v>
      </c>
      <c r="IY7" s="525">
        <f t="shared" si="8"/>
        <v>2018.08326900001</v>
      </c>
      <c r="IZ7" s="525">
        <f t="shared" si="8"/>
        <v>2018.16660200001</v>
      </c>
      <c r="JA7" s="525">
        <f t="shared" si="8"/>
        <v>2018.2499350000101</v>
      </c>
      <c r="JB7" s="525">
        <f t="shared" si="8"/>
        <v>2018.3332680000101</v>
      </c>
      <c r="JC7" s="525">
        <f t="shared" si="8"/>
        <v>2018.3332680000101</v>
      </c>
      <c r="JD7" s="525">
        <f t="shared" si="8"/>
        <v>2018.4166010000099</v>
      </c>
      <c r="JE7" s="525">
        <f t="shared" si="8"/>
        <v>2018.4999340000099</v>
      </c>
      <c r="JF7" s="525">
        <f t="shared" si="8"/>
        <v>2018.58326700001</v>
      </c>
      <c r="JG7" s="525">
        <f t="shared" si="8"/>
        <v>2018.58326700001</v>
      </c>
      <c r="JH7" s="525">
        <f t="shared" si="8"/>
        <v>2018.66660000001</v>
      </c>
      <c r="JI7" s="525">
        <f t="shared" si="8"/>
        <v>2018.7499330000101</v>
      </c>
      <c r="JJ7" s="525">
        <f t="shared" si="8"/>
        <v>2018.8332660000101</v>
      </c>
      <c r="JK7" s="525">
        <f t="shared" si="8"/>
        <v>2018.8332660000101</v>
      </c>
      <c r="JL7" s="525">
        <f t="shared" si="8"/>
        <v>2018.9165990000099</v>
      </c>
      <c r="JM7" s="525">
        <f t="shared" si="8"/>
        <v>2018.9999320000099</v>
      </c>
      <c r="JN7" s="525">
        <f t="shared" si="8"/>
        <v>2019.08326500001</v>
      </c>
      <c r="JO7" s="525">
        <f t="shared" si="8"/>
        <v>2019.08326500001</v>
      </c>
      <c r="JP7" s="525">
        <f t="shared" ref="JP7:KT7" si="9">INDEX($B$3:$HU$3,MATCH(JP$12,$B$3:$HU$3,1)+1)</f>
        <v>2019.16659800001</v>
      </c>
      <c r="JQ7" s="525">
        <f t="shared" si="9"/>
        <v>2019.2499310000101</v>
      </c>
      <c r="JR7" s="525">
        <f t="shared" si="9"/>
        <v>2019.3332640000101</v>
      </c>
      <c r="JS7" s="525">
        <f t="shared" si="9"/>
        <v>2019.3332640000101</v>
      </c>
      <c r="JT7" s="525">
        <f t="shared" si="9"/>
        <v>2019.4165970000099</v>
      </c>
      <c r="JU7" s="525">
        <f t="shared" si="9"/>
        <v>2019.49993000001</v>
      </c>
      <c r="JV7" s="525">
        <f t="shared" si="9"/>
        <v>2019.58326300001</v>
      </c>
      <c r="JW7" s="525">
        <f t="shared" si="9"/>
        <v>2019.58326300001</v>
      </c>
      <c r="JX7" s="525">
        <f t="shared" si="9"/>
        <v>2019.66659600001</v>
      </c>
      <c r="JY7" s="525">
        <f t="shared" si="9"/>
        <v>2019.7499290000101</v>
      </c>
      <c r="JZ7" s="525">
        <f t="shared" si="9"/>
        <v>2019.8332620000101</v>
      </c>
      <c r="KA7" s="525">
        <f t="shared" si="9"/>
        <v>2019.8332620000101</v>
      </c>
      <c r="KB7" s="525">
        <f t="shared" si="9"/>
        <v>2019.9165950000099</v>
      </c>
      <c r="KC7" s="525">
        <f t="shared" si="9"/>
        <v>2019.99992800001</v>
      </c>
      <c r="KD7" s="525">
        <f t="shared" si="9"/>
        <v>2020.08326100001</v>
      </c>
      <c r="KE7" s="525">
        <f t="shared" si="9"/>
        <v>2020.08326100001</v>
      </c>
      <c r="KF7" s="525">
        <f t="shared" si="9"/>
        <v>2020.16659400001</v>
      </c>
      <c r="KG7" s="525">
        <f t="shared" si="9"/>
        <v>2020.2499270000101</v>
      </c>
      <c r="KH7" s="525">
        <f t="shared" si="9"/>
        <v>2020.3332600000099</v>
      </c>
      <c r="KI7" s="525">
        <f t="shared" si="9"/>
        <v>2020.3332600000099</v>
      </c>
      <c r="KJ7" s="525">
        <f t="shared" si="9"/>
        <v>2020.4165930000099</v>
      </c>
      <c r="KK7" s="525">
        <f t="shared" si="9"/>
        <v>2020.49992600001</v>
      </c>
      <c r="KL7" s="525">
        <f t="shared" si="9"/>
        <v>2020.58325900001</v>
      </c>
      <c r="KM7" s="525">
        <f t="shared" si="9"/>
        <v>2020.58325900001</v>
      </c>
      <c r="KN7" s="525">
        <f t="shared" si="9"/>
        <v>2020.66659200001</v>
      </c>
      <c r="KO7" s="525">
        <f t="shared" si="9"/>
        <v>2020.7499250000101</v>
      </c>
      <c r="KP7" s="525">
        <f t="shared" si="9"/>
        <v>2020.8332580000099</v>
      </c>
      <c r="KQ7" s="525">
        <f t="shared" si="9"/>
        <v>2020.8332580000099</v>
      </c>
      <c r="KR7" s="525">
        <f t="shared" si="9"/>
        <v>2020.9165910000099</v>
      </c>
      <c r="KS7" s="525" t="e">
        <f t="shared" si="9"/>
        <v>#REF!</v>
      </c>
      <c r="KT7" s="525" t="e">
        <f t="shared" si="9"/>
        <v>#REF!</v>
      </c>
    </row>
    <row r="8" spans="1:306" x14ac:dyDescent="0.25">
      <c r="A8" s="525" t="s">
        <v>53</v>
      </c>
      <c r="B8" s="525"/>
      <c r="C8" s="525"/>
      <c r="D8" s="525"/>
      <c r="E8" s="525"/>
      <c r="F8" s="525"/>
      <c r="G8" s="525"/>
      <c r="H8" s="525"/>
      <c r="I8" s="525"/>
      <c r="J8" s="525"/>
      <c r="K8" s="525"/>
      <c r="L8" s="525"/>
      <c r="M8" s="525"/>
      <c r="N8" s="525"/>
      <c r="O8" s="525"/>
      <c r="P8" s="525">
        <f>INDEX($B$4:$HU$4,MATCH(P$12,$B$3:$HU$3,1))</f>
        <v>0</v>
      </c>
      <c r="Q8" s="525">
        <f>INDEX($B$4:$HU$4,MATCH(Q$12,$B$3:$HU$3,1))</f>
        <v>0</v>
      </c>
      <c r="R8" s="525">
        <f>INDEX($B$4:$HU$4,MATCH(R$12,$B$3:$HU$3,1))</f>
        <v>57.925266666666701</v>
      </c>
      <c r="S8" s="525">
        <f t="shared" ref="S8:CD8" si="10">INDEX($B$4:$HU$4,MATCH(S$12,$B$3:$HU$3,1))</f>
        <v>57.925266666666701</v>
      </c>
      <c r="T8" s="525">
        <f t="shared" si="10"/>
        <v>411.07412499999998</v>
      </c>
      <c r="U8" s="525">
        <f t="shared" si="10"/>
        <v>983.44249443207104</v>
      </c>
      <c r="V8" s="525">
        <f t="shared" si="10"/>
        <v>1627.61786387435</v>
      </c>
      <c r="W8" s="525">
        <f t="shared" si="10"/>
        <v>1627.61786387435</v>
      </c>
      <c r="X8" s="525">
        <f t="shared" si="10"/>
        <v>2330.7993576222402</v>
      </c>
      <c r="Y8" s="525">
        <f t="shared" si="10"/>
        <v>3035.7949217252399</v>
      </c>
      <c r="Z8" s="525">
        <f t="shared" si="10"/>
        <v>3642.2489219576701</v>
      </c>
      <c r="AA8" s="525">
        <f t="shared" si="10"/>
        <v>3642.2489219576701</v>
      </c>
      <c r="AB8" s="525">
        <f t="shared" si="10"/>
        <v>4403.9650411184202</v>
      </c>
      <c r="AC8" s="525">
        <f t="shared" si="10"/>
        <v>5556.3090600838404</v>
      </c>
      <c r="AD8" s="525">
        <f t="shared" si="10"/>
        <v>6927.9856144238502</v>
      </c>
      <c r="AE8" s="525">
        <f t="shared" si="10"/>
        <v>6927.9856144238502</v>
      </c>
      <c r="AF8" s="525">
        <f t="shared" si="10"/>
        <v>7396.4654238959001</v>
      </c>
      <c r="AG8" s="525">
        <f t="shared" si="10"/>
        <v>8529.0777417322806</v>
      </c>
      <c r="AH8" s="525">
        <f t="shared" si="10"/>
        <v>9681.6059111240193</v>
      </c>
      <c r="AI8" s="525">
        <f t="shared" si="10"/>
        <v>9681.6059111240193</v>
      </c>
      <c r="AJ8" s="525">
        <f t="shared" si="10"/>
        <v>10342.2462898713</v>
      </c>
      <c r="AK8" s="525">
        <f t="shared" si="10"/>
        <v>12338.841187026301</v>
      </c>
      <c r="AL8" s="525">
        <f t="shared" si="10"/>
        <v>13784.791436446199</v>
      </c>
      <c r="AM8" s="525">
        <f t="shared" si="10"/>
        <v>13784.791436446199</v>
      </c>
      <c r="AN8" s="525">
        <f t="shared" si="10"/>
        <v>14352.1431837165</v>
      </c>
      <c r="AO8" s="525">
        <f t="shared" si="10"/>
        <v>16289.628132714901</v>
      </c>
      <c r="AP8" s="525">
        <f t="shared" si="10"/>
        <v>17005.626291375302</v>
      </c>
      <c r="AQ8" s="525">
        <f t="shared" si="10"/>
        <v>17005.626291375302</v>
      </c>
      <c r="AR8" s="525">
        <f t="shared" si="10"/>
        <v>18505.764152884902</v>
      </c>
      <c r="AS8" s="525">
        <f t="shared" si="10"/>
        <v>19851.537585518101</v>
      </c>
      <c r="AT8" s="525">
        <f t="shared" si="10"/>
        <v>21126.3730660127</v>
      </c>
      <c r="AU8" s="525">
        <f t="shared" si="10"/>
        <v>21126.3730660127</v>
      </c>
      <c r="AV8" s="525">
        <f t="shared" si="10"/>
        <v>22311.417785838701</v>
      </c>
      <c r="AW8" s="525">
        <f t="shared" si="10"/>
        <v>23887.635813778899</v>
      </c>
      <c r="AX8" s="525">
        <f t="shared" si="10"/>
        <v>22238.1690059133</v>
      </c>
      <c r="AY8" s="525">
        <f t="shared" si="10"/>
        <v>22238.1690059133</v>
      </c>
      <c r="AZ8" s="525">
        <f t="shared" si="10"/>
        <v>22887.585878088801</v>
      </c>
      <c r="BA8" s="525">
        <f t="shared" si="10"/>
        <v>25807.829502535798</v>
      </c>
      <c r="BB8" s="525">
        <f t="shared" si="10"/>
        <v>26696.346603382899</v>
      </c>
      <c r="BC8" s="525">
        <f t="shared" si="10"/>
        <v>26696.346603382899</v>
      </c>
      <c r="BD8" s="525">
        <f t="shared" si="10"/>
        <v>28524.626668712201</v>
      </c>
      <c r="BE8" s="525">
        <f t="shared" si="10"/>
        <v>30263.6451095011</v>
      </c>
      <c r="BF8" s="525">
        <f t="shared" si="10"/>
        <v>31123.832945378101</v>
      </c>
      <c r="BG8" s="525">
        <f t="shared" si="10"/>
        <v>31123.832945378101</v>
      </c>
      <c r="BH8" s="525">
        <f t="shared" si="10"/>
        <v>32558.114409534101</v>
      </c>
      <c r="BI8" s="525">
        <f t="shared" si="10"/>
        <v>33692.706734383799</v>
      </c>
      <c r="BJ8" s="525">
        <f t="shared" si="10"/>
        <v>36044.114056739003</v>
      </c>
      <c r="BK8" s="525">
        <f t="shared" si="10"/>
        <v>36044.114056739003</v>
      </c>
      <c r="BL8" s="525">
        <f t="shared" si="10"/>
        <v>37337.742779847104</v>
      </c>
      <c r="BM8" s="525">
        <f t="shared" si="10"/>
        <v>40777.963429652598</v>
      </c>
      <c r="BN8" s="525">
        <f t="shared" si="10"/>
        <v>41806.149686753997</v>
      </c>
      <c r="BO8" s="525">
        <f t="shared" si="10"/>
        <v>41806.149686753997</v>
      </c>
      <c r="BP8" s="525">
        <f t="shared" si="10"/>
        <v>42017.595661720799</v>
      </c>
      <c r="BQ8" s="525">
        <f t="shared" si="10"/>
        <v>46811.032293254299</v>
      </c>
      <c r="BR8" s="525">
        <f t="shared" si="10"/>
        <v>46517.184384120599</v>
      </c>
      <c r="BS8" s="525">
        <f t="shared" si="10"/>
        <v>46517.184384120599</v>
      </c>
      <c r="BT8" s="525">
        <f t="shared" si="10"/>
        <v>50480.627456010698</v>
      </c>
      <c r="BU8" s="525">
        <f t="shared" si="10"/>
        <v>52415.631968905604</v>
      </c>
      <c r="BV8" s="525">
        <f t="shared" si="10"/>
        <v>53565.107184062799</v>
      </c>
      <c r="BW8" s="525">
        <f t="shared" si="10"/>
        <v>53565.107184062799</v>
      </c>
      <c r="BX8" s="525">
        <f t="shared" si="10"/>
        <v>57479.588745147899</v>
      </c>
      <c r="BY8" s="525">
        <f t="shared" si="10"/>
        <v>58380.9353902925</v>
      </c>
      <c r="BZ8" s="525">
        <f t="shared" si="10"/>
        <v>61973.898321059598</v>
      </c>
      <c r="CA8" s="525">
        <f t="shared" si="10"/>
        <v>61973.898321059598</v>
      </c>
      <c r="CB8" s="525">
        <f t="shared" si="10"/>
        <v>63815.010525920203</v>
      </c>
      <c r="CC8" s="525">
        <f t="shared" si="10"/>
        <v>65108.532011028401</v>
      </c>
      <c r="CD8" s="525">
        <f t="shared" si="10"/>
        <v>71944.898693460898</v>
      </c>
      <c r="CE8" s="525">
        <f t="shared" ref="CE8:EP8" si="11">INDEX($B$4:$HU$4,MATCH(CE$12,$B$3:$HU$3,1))</f>
        <v>71944.898693460898</v>
      </c>
      <c r="CF8" s="525">
        <f t="shared" si="11"/>
        <v>71462.223070638007</v>
      </c>
      <c r="CG8" s="525">
        <f t="shared" si="11"/>
        <v>80266.083329753397</v>
      </c>
      <c r="CH8" s="525">
        <f t="shared" si="11"/>
        <v>83860.239883240996</v>
      </c>
      <c r="CI8" s="525">
        <f t="shared" si="11"/>
        <v>83860.239883240996</v>
      </c>
      <c r="CJ8" s="525">
        <f t="shared" si="11"/>
        <v>89538.825530040398</v>
      </c>
      <c r="CK8" s="525">
        <f t="shared" si="11"/>
        <v>91302.835592732095</v>
      </c>
      <c r="CL8" s="525">
        <f t="shared" si="11"/>
        <v>98448.630948548205</v>
      </c>
      <c r="CM8" s="525">
        <f t="shared" si="11"/>
        <v>98448.630948548205</v>
      </c>
      <c r="CN8" s="525">
        <f t="shared" si="11"/>
        <v>102574.940636641</v>
      </c>
      <c r="CO8" s="525">
        <f t="shared" si="11"/>
        <v>102383.392369846</v>
      </c>
      <c r="CP8" s="525">
        <f t="shared" si="11"/>
        <v>112353.157620243</v>
      </c>
      <c r="CQ8" s="525">
        <f t="shared" si="11"/>
        <v>112353.157620243</v>
      </c>
      <c r="CR8" s="525">
        <f t="shared" si="11"/>
        <v>114533.732206185</v>
      </c>
      <c r="CS8" s="525">
        <f t="shared" si="11"/>
        <v>117853.12489462701</v>
      </c>
      <c r="CT8" s="525">
        <f t="shared" si="11"/>
        <v>128680.663303555</v>
      </c>
      <c r="CU8" s="525">
        <f t="shared" si="11"/>
        <v>128680.663303555</v>
      </c>
      <c r="CV8" s="525">
        <f t="shared" si="11"/>
        <v>129774.506160844</v>
      </c>
      <c r="CW8" s="525">
        <f t="shared" si="11"/>
        <v>136913.43018607801</v>
      </c>
      <c r="CX8" s="525">
        <f t="shared" si="11"/>
        <v>142039.165864051</v>
      </c>
      <c r="CY8" s="525">
        <f t="shared" si="11"/>
        <v>142039.165864051</v>
      </c>
      <c r="CZ8" s="525">
        <f t="shared" si="11"/>
        <v>147738.86059221</v>
      </c>
      <c r="DA8" s="525">
        <f t="shared" si="11"/>
        <v>148381.05044235499</v>
      </c>
      <c r="DB8" s="525">
        <f t="shared" si="11"/>
        <v>159480.737634169</v>
      </c>
      <c r="DC8" s="525">
        <f t="shared" si="11"/>
        <v>159480.737634169</v>
      </c>
      <c r="DD8" s="525">
        <f t="shared" si="11"/>
        <v>162746.74462017501</v>
      </c>
      <c r="DE8" s="525">
        <f t="shared" si="11"/>
        <v>167721.40348959001</v>
      </c>
      <c r="DF8" s="525">
        <f t="shared" si="11"/>
        <v>176978.28870028499</v>
      </c>
      <c r="DG8" s="525">
        <f t="shared" si="11"/>
        <v>176978.28870028499</v>
      </c>
      <c r="DH8" s="525">
        <f t="shared" si="11"/>
        <v>175350.885450987</v>
      </c>
      <c r="DI8" s="525">
        <f t="shared" si="11"/>
        <v>184082.26970208</v>
      </c>
      <c r="DJ8" s="525">
        <f t="shared" si="11"/>
        <v>189221.06957374499</v>
      </c>
      <c r="DK8" s="525">
        <f t="shared" si="11"/>
        <v>189221.06957374499</v>
      </c>
      <c r="DL8" s="525">
        <f t="shared" si="11"/>
        <v>188840.772538333</v>
      </c>
      <c r="DM8" s="525">
        <f t="shared" si="11"/>
        <v>201708.86121392</v>
      </c>
      <c r="DN8" s="525">
        <f t="shared" si="11"/>
        <v>203613.70247476001</v>
      </c>
      <c r="DO8" s="525">
        <f t="shared" si="11"/>
        <v>203613.70247476001</v>
      </c>
      <c r="DP8" s="525">
        <f t="shared" si="11"/>
        <v>208057.00713061201</v>
      </c>
      <c r="DQ8" s="525">
        <f t="shared" si="11"/>
        <v>213874.28513085301</v>
      </c>
      <c r="DR8" s="525">
        <f t="shared" si="11"/>
        <v>220056.497650631</v>
      </c>
      <c r="DS8" s="525">
        <f t="shared" si="11"/>
        <v>220056.497650631</v>
      </c>
      <c r="DT8" s="525">
        <f t="shared" si="11"/>
        <v>220296.61950439101</v>
      </c>
      <c r="DU8" s="525">
        <f t="shared" si="11"/>
        <v>224082.703633364</v>
      </c>
      <c r="DV8" s="525">
        <f t="shared" si="11"/>
        <v>226040.67968062501</v>
      </c>
      <c r="DW8" s="525">
        <f t="shared" si="11"/>
        <v>226040.67968062501</v>
      </c>
      <c r="DX8" s="525">
        <f t="shared" si="11"/>
        <v>224311.010569242</v>
      </c>
      <c r="DY8" s="525">
        <f t="shared" si="11"/>
        <v>235390.54387627699</v>
      </c>
      <c r="DZ8" s="525">
        <f t="shared" si="11"/>
        <v>233809.73280876299</v>
      </c>
      <c r="EA8" s="525">
        <f t="shared" si="11"/>
        <v>233809.73280876299</v>
      </c>
      <c r="EB8" s="525">
        <f t="shared" si="11"/>
        <v>234532.422156015</v>
      </c>
      <c r="EC8" s="525">
        <f t="shared" si="11"/>
        <v>254548.20862206499</v>
      </c>
      <c r="ED8" s="525">
        <f t="shared" si="11"/>
        <v>252316.18935751799</v>
      </c>
      <c r="EE8" s="525">
        <f t="shared" si="11"/>
        <v>252316.18935751799</v>
      </c>
      <c r="EF8" s="525">
        <f t="shared" si="11"/>
        <v>255076.105061254</v>
      </c>
      <c r="EG8" s="525">
        <f t="shared" si="11"/>
        <v>261473.251684588</v>
      </c>
      <c r="EH8" s="525">
        <f t="shared" si="11"/>
        <v>262009.82491201899</v>
      </c>
      <c r="EI8" s="525">
        <f t="shared" si="11"/>
        <v>262009.82491201899</v>
      </c>
      <c r="EJ8" s="525">
        <f t="shared" si="11"/>
        <v>267330.34738955199</v>
      </c>
      <c r="EK8" s="525">
        <f t="shared" si="11"/>
        <v>269198.10935932101</v>
      </c>
      <c r="EL8" s="525">
        <f t="shared" si="11"/>
        <v>269177.01363940001</v>
      </c>
      <c r="EM8" s="525">
        <f t="shared" si="11"/>
        <v>269177.01363940001</v>
      </c>
      <c r="EN8" s="525">
        <f t="shared" si="11"/>
        <v>275914.15228826401</v>
      </c>
      <c r="EO8" s="525">
        <f t="shared" si="11"/>
        <v>279812.42228722101</v>
      </c>
      <c r="EP8" s="525">
        <f t="shared" si="11"/>
        <v>284707.655369771</v>
      </c>
      <c r="EQ8" s="525">
        <f t="shared" ref="EQ8:HB8" si="12">INDEX($B$4:$HU$4,MATCH(EQ$12,$B$3:$HU$3,1))</f>
        <v>284707.655369771</v>
      </c>
      <c r="ER8" s="525">
        <f t="shared" si="12"/>
        <v>284986.61936657899</v>
      </c>
      <c r="ES8" s="525">
        <f t="shared" si="12"/>
        <v>304750.77618458198</v>
      </c>
      <c r="ET8" s="525">
        <f t="shared" si="12"/>
        <v>299633.09739516902</v>
      </c>
      <c r="EU8" s="525">
        <f t="shared" si="12"/>
        <v>299633.09739516902</v>
      </c>
      <c r="EV8" s="525">
        <f t="shared" si="12"/>
        <v>308264.779861007</v>
      </c>
      <c r="EW8" s="525">
        <f t="shared" si="12"/>
        <v>314732.10775192903</v>
      </c>
      <c r="EX8" s="525">
        <f t="shared" si="12"/>
        <v>311039.72352326202</v>
      </c>
      <c r="EY8" s="525">
        <f t="shared" si="12"/>
        <v>311039.72352326202</v>
      </c>
      <c r="EZ8" s="525">
        <f t="shared" si="12"/>
        <v>322902.20680155099</v>
      </c>
      <c r="FA8" s="525">
        <f t="shared" si="12"/>
        <v>321317.43239843298</v>
      </c>
      <c r="FB8" s="525">
        <f t="shared" si="12"/>
        <v>320375.452186885</v>
      </c>
      <c r="FC8" s="525">
        <f t="shared" si="12"/>
        <v>320375.452186885</v>
      </c>
      <c r="FD8" s="525">
        <f t="shared" si="12"/>
        <v>324783.45176639501</v>
      </c>
      <c r="FE8" s="525">
        <f t="shared" si="12"/>
        <v>321196.40298842301</v>
      </c>
      <c r="FF8" s="525">
        <f t="shared" si="12"/>
        <v>320476.89902010001</v>
      </c>
      <c r="FG8" s="525">
        <f t="shared" si="12"/>
        <v>320476.89902010001</v>
      </c>
      <c r="FH8" s="525">
        <f t="shared" si="12"/>
        <v>323835.12104186899</v>
      </c>
      <c r="FI8" s="525">
        <f t="shared" si="12"/>
        <v>335683.059469097</v>
      </c>
      <c r="FJ8" s="525">
        <f t="shared" si="12"/>
        <v>329605.928156387</v>
      </c>
      <c r="FK8" s="525">
        <f t="shared" si="12"/>
        <v>329605.928156387</v>
      </c>
      <c r="FL8" s="525">
        <f t="shared" si="12"/>
        <v>338272.44805846998</v>
      </c>
      <c r="FM8" s="525">
        <f t="shared" si="12"/>
        <v>337114.20060194097</v>
      </c>
      <c r="FN8" s="525">
        <f t="shared" si="12"/>
        <v>341051.48979623202</v>
      </c>
      <c r="FO8" s="525">
        <f t="shared" si="12"/>
        <v>341051.48979623202</v>
      </c>
      <c r="FP8" s="525">
        <f t="shared" si="12"/>
        <v>350991.381199695</v>
      </c>
      <c r="FQ8" s="525">
        <f t="shared" si="12"/>
        <v>344912.86800055101</v>
      </c>
      <c r="FR8" s="525">
        <f t="shared" si="12"/>
        <v>358863.50514540402</v>
      </c>
      <c r="FS8" s="525">
        <f t="shared" si="12"/>
        <v>358863.50514540402</v>
      </c>
      <c r="FT8" s="525">
        <f t="shared" si="12"/>
        <v>356914.07984840602</v>
      </c>
      <c r="FU8" s="525">
        <f t="shared" si="12"/>
        <v>354372.68992516497</v>
      </c>
      <c r="FV8" s="525">
        <f t="shared" si="12"/>
        <v>359125.614318665</v>
      </c>
      <c r="FW8" s="525">
        <f t="shared" si="12"/>
        <v>359125.614318665</v>
      </c>
      <c r="FX8" s="525">
        <f t="shared" si="12"/>
        <v>355713.60695690702</v>
      </c>
      <c r="FY8" s="525">
        <f t="shared" si="12"/>
        <v>369854.98842801602</v>
      </c>
      <c r="FZ8" s="525">
        <f t="shared" si="12"/>
        <v>376326.14838103001</v>
      </c>
      <c r="GA8" s="525">
        <f t="shared" si="12"/>
        <v>376326.14838103001</v>
      </c>
      <c r="GB8" s="525">
        <f t="shared" si="12"/>
        <v>381037.23754858901</v>
      </c>
      <c r="GC8" s="525">
        <f t="shared" si="12"/>
        <v>374930.905099614</v>
      </c>
      <c r="GD8" s="525">
        <f t="shared" si="12"/>
        <v>387298.09345244098</v>
      </c>
      <c r="GE8" s="525">
        <f t="shared" si="12"/>
        <v>387298.09345244098</v>
      </c>
      <c r="GF8" s="525">
        <f t="shared" si="12"/>
        <v>388047.98282730801</v>
      </c>
      <c r="GG8" s="525">
        <f t="shared" si="12"/>
        <v>383762.45749739802</v>
      </c>
      <c r="GH8" s="525">
        <f t="shared" si="12"/>
        <v>396565.49524993001</v>
      </c>
      <c r="GI8" s="525">
        <f t="shared" si="12"/>
        <v>396565.49524993001</v>
      </c>
      <c r="GJ8" s="525">
        <f t="shared" si="12"/>
        <v>390007.26245011803</v>
      </c>
      <c r="GK8" s="525">
        <f t="shared" si="12"/>
        <v>396299.42407451099</v>
      </c>
      <c r="GL8" s="525">
        <f t="shared" si="12"/>
        <v>404154.27012737101</v>
      </c>
      <c r="GM8" s="525">
        <f t="shared" si="12"/>
        <v>404154.27012737101</v>
      </c>
      <c r="GN8" s="525">
        <f t="shared" si="12"/>
        <v>400685.82908295601</v>
      </c>
      <c r="GO8" s="525">
        <f t="shared" si="12"/>
        <v>415747.951114789</v>
      </c>
      <c r="GP8" s="525">
        <f t="shared" si="12"/>
        <v>423272.75884088798</v>
      </c>
      <c r="GQ8" s="525">
        <f t="shared" si="12"/>
        <v>423272.75884088798</v>
      </c>
      <c r="GR8" s="525">
        <f t="shared" si="12"/>
        <v>427504.75584763102</v>
      </c>
      <c r="GS8" s="525">
        <f t="shared" si="12"/>
        <v>423679.73788869299</v>
      </c>
      <c r="GT8" s="525">
        <f t="shared" si="12"/>
        <v>432872.10384571698</v>
      </c>
      <c r="GU8" s="525">
        <f t="shared" si="12"/>
        <v>432872.10384571698</v>
      </c>
      <c r="GV8" s="525">
        <f t="shared" si="12"/>
        <v>430606.72436689603</v>
      </c>
      <c r="GW8" s="525">
        <f t="shared" si="12"/>
        <v>435863.84734876303</v>
      </c>
      <c r="GX8" s="525">
        <f t="shared" si="12"/>
        <v>455547.83795433602</v>
      </c>
      <c r="GY8" s="525">
        <f t="shared" si="12"/>
        <v>455547.83795433602</v>
      </c>
      <c r="GZ8" s="525">
        <f t="shared" si="12"/>
        <v>447358.471401505</v>
      </c>
      <c r="HA8" s="525">
        <f t="shared" si="12"/>
        <v>464129.32910909801</v>
      </c>
      <c r="HB8" s="525">
        <f t="shared" si="12"/>
        <v>456476.68652527098</v>
      </c>
      <c r="HC8" s="525">
        <f t="shared" ref="HC8:JO8" si="13">INDEX($B$4:$HU$4,MATCH(HC$12,$B$3:$HU$3,1))</f>
        <v>456476.68652527098</v>
      </c>
      <c r="HD8" s="525">
        <f t="shared" si="13"/>
        <v>450088.27730722801</v>
      </c>
      <c r="HE8" s="525">
        <f t="shared" si="13"/>
        <v>470355.536956592</v>
      </c>
      <c r="HF8" s="525">
        <f t="shared" si="13"/>
        <v>471938.58596312098</v>
      </c>
      <c r="HG8" s="525">
        <f t="shared" si="13"/>
        <v>471938.58596312098</v>
      </c>
      <c r="HH8" s="525">
        <f t="shared" si="13"/>
        <v>469637.53827542998</v>
      </c>
      <c r="HI8" s="525">
        <f t="shared" si="13"/>
        <v>474244.03923890198</v>
      </c>
      <c r="HJ8" s="525">
        <f t="shared" si="13"/>
        <v>477596.631952481</v>
      </c>
      <c r="HK8" s="525">
        <f t="shared" si="13"/>
        <v>477596.631952481</v>
      </c>
      <c r="HL8" s="525">
        <f t="shared" si="13"/>
        <v>472757.86972635001</v>
      </c>
      <c r="HM8" s="525">
        <f t="shared" si="13"/>
        <v>478071.04768096999</v>
      </c>
      <c r="HN8" s="525">
        <f t="shared" si="13"/>
        <v>485760.75638855097</v>
      </c>
      <c r="HO8" s="525">
        <f t="shared" si="13"/>
        <v>485760.75638855097</v>
      </c>
      <c r="HP8" s="525">
        <f t="shared" si="13"/>
        <v>478202.76073121902</v>
      </c>
      <c r="HQ8" s="525">
        <f t="shared" si="13"/>
        <v>490937.54745685402</v>
      </c>
      <c r="HR8" s="525">
        <f t="shared" si="13"/>
        <v>492446.19078010297</v>
      </c>
      <c r="HS8" s="525">
        <f t="shared" si="13"/>
        <v>492446.19078010297</v>
      </c>
      <c r="HT8" s="525">
        <f t="shared" si="13"/>
        <v>495683.51189857401</v>
      </c>
      <c r="HU8" s="525">
        <f t="shared" si="13"/>
        <v>511119.33771062799</v>
      </c>
      <c r="HV8" s="525">
        <f t="shared" si="13"/>
        <v>508752.977319317</v>
      </c>
      <c r="HW8" s="525">
        <f t="shared" si="13"/>
        <v>508752.977319317</v>
      </c>
      <c r="HX8" s="525">
        <f t="shared" si="13"/>
        <v>514240.948299015</v>
      </c>
      <c r="HY8" s="525">
        <f t="shared" si="13"/>
        <v>518688.65101547498</v>
      </c>
      <c r="HZ8" s="525">
        <f t="shared" si="13"/>
        <v>516279.56377611298</v>
      </c>
      <c r="IA8" s="525">
        <f t="shared" si="13"/>
        <v>516279.56377611298</v>
      </c>
      <c r="IB8" s="525">
        <f t="shared" si="13"/>
        <v>528246.19470872602</v>
      </c>
      <c r="IC8" s="525">
        <f t="shared" si="13"/>
        <v>528488.83046643203</v>
      </c>
      <c r="ID8" s="525">
        <f t="shared" si="13"/>
        <v>533765.77438571001</v>
      </c>
      <c r="IE8" s="525">
        <f t="shared" si="13"/>
        <v>533765.77438571001</v>
      </c>
      <c r="IF8" s="525">
        <f t="shared" si="13"/>
        <v>539851.44894888299</v>
      </c>
      <c r="IG8" s="525">
        <f t="shared" si="13"/>
        <v>546030.59173778596</v>
      </c>
      <c r="IH8" s="525">
        <f t="shared" si="13"/>
        <v>542626.56719490897</v>
      </c>
      <c r="II8" s="525">
        <f t="shared" si="13"/>
        <v>542626.56719490897</v>
      </c>
      <c r="IJ8" s="525">
        <f t="shared" si="13"/>
        <v>535205.35565640405</v>
      </c>
      <c r="IK8" s="525">
        <f t="shared" si="13"/>
        <v>565675.58197806403</v>
      </c>
      <c r="IL8" s="525">
        <f t="shared" si="13"/>
        <v>556100.55095499801</v>
      </c>
      <c r="IM8" s="525">
        <f t="shared" si="13"/>
        <v>556100.55095499801</v>
      </c>
      <c r="IN8" s="525">
        <f t="shared" si="13"/>
        <v>572977.84603135602</v>
      </c>
      <c r="IO8" s="525">
        <f t="shared" si="13"/>
        <v>576020.00275812799</v>
      </c>
      <c r="IP8" s="525">
        <f t="shared" si="13"/>
        <v>569632.50628583902</v>
      </c>
      <c r="IQ8" s="525">
        <f t="shared" si="13"/>
        <v>569632.50628583902</v>
      </c>
      <c r="IR8" s="525">
        <f t="shared" si="13"/>
        <v>584401.39577169297</v>
      </c>
      <c r="IS8" s="525">
        <f t="shared" si="13"/>
        <v>577616.828682233</v>
      </c>
      <c r="IT8" s="525">
        <f t="shared" si="13"/>
        <v>588345.04858769302</v>
      </c>
      <c r="IU8" s="525">
        <f t="shared" si="13"/>
        <v>588345.04858769302</v>
      </c>
      <c r="IV8" s="525">
        <f t="shared" si="13"/>
        <v>588236.06531748304</v>
      </c>
      <c r="IW8" s="525">
        <f t="shared" si="13"/>
        <v>593159.32928907895</v>
      </c>
      <c r="IX8" s="525">
        <f t="shared" si="13"/>
        <v>606976.27902879799</v>
      </c>
      <c r="IY8" s="525">
        <f t="shared" si="13"/>
        <v>606976.27902879799</v>
      </c>
      <c r="IZ8" s="525">
        <f t="shared" si="13"/>
        <v>595163.220560599</v>
      </c>
      <c r="JA8" s="525">
        <f t="shared" si="13"/>
        <v>625370.34752898198</v>
      </c>
      <c r="JB8" s="525">
        <f t="shared" si="13"/>
        <v>629060.10747306701</v>
      </c>
      <c r="JC8" s="525">
        <f t="shared" si="13"/>
        <v>629060.10747306701</v>
      </c>
      <c r="JD8" s="525">
        <f t="shared" si="13"/>
        <v>644143.95800726302</v>
      </c>
      <c r="JE8" s="525">
        <f t="shared" si="13"/>
        <v>644690.10107376904</v>
      </c>
      <c r="JF8" s="525">
        <f t="shared" si="13"/>
        <v>647461.58820612903</v>
      </c>
      <c r="JG8" s="525">
        <f t="shared" si="13"/>
        <v>647461.58820612903</v>
      </c>
      <c r="JH8" s="525">
        <f t="shared" si="13"/>
        <v>659037.27578248701</v>
      </c>
      <c r="JI8" s="525">
        <f t="shared" si="13"/>
        <v>644690.95787016803</v>
      </c>
      <c r="JJ8" s="525">
        <f t="shared" si="13"/>
        <v>665080.86521845299</v>
      </c>
      <c r="JK8" s="525">
        <f t="shared" si="13"/>
        <v>665080.86521845299</v>
      </c>
      <c r="JL8" s="525">
        <f t="shared" si="13"/>
        <v>665033.41559820704</v>
      </c>
      <c r="JM8" s="525">
        <f t="shared" si="13"/>
        <v>664512.44009982899</v>
      </c>
      <c r="JN8" s="525">
        <f t="shared" si="13"/>
        <v>690199.60553760803</v>
      </c>
      <c r="JO8" s="525">
        <f t="shared" si="13"/>
        <v>690199.60553760803</v>
      </c>
      <c r="JP8" s="525">
        <f t="shared" ref="JP8:KT8" si="14">INDEX($B$4:$HU$4,MATCH(JP$12,$B$3:$HU$3,1))</f>
        <v>674950.97799122997</v>
      </c>
      <c r="JQ8" s="525">
        <f t="shared" si="14"/>
        <v>700637.54229764198</v>
      </c>
      <c r="JR8" s="525">
        <f t="shared" si="14"/>
        <v>706762.94732553698</v>
      </c>
      <c r="JS8" s="525">
        <f t="shared" si="14"/>
        <v>706762.94732553698</v>
      </c>
      <c r="JT8" s="525">
        <f t="shared" si="14"/>
        <v>714581.33162871702</v>
      </c>
      <c r="JU8" s="525">
        <f t="shared" si="14"/>
        <v>705276.21229507297</v>
      </c>
      <c r="JV8" s="525">
        <f t="shared" si="14"/>
        <v>722292.56924043398</v>
      </c>
      <c r="JW8" s="525">
        <f t="shared" si="14"/>
        <v>722292.56924043398</v>
      </c>
      <c r="JX8" s="525">
        <f t="shared" si="14"/>
        <v>732919.20176755998</v>
      </c>
      <c r="JY8" s="525">
        <f t="shared" si="14"/>
        <v>724635.94359363103</v>
      </c>
      <c r="JZ8" s="525">
        <f t="shared" si="14"/>
        <v>745254.26424087398</v>
      </c>
      <c r="KA8" s="525">
        <f t="shared" si="14"/>
        <v>745254.26424087398</v>
      </c>
      <c r="KB8" s="525">
        <f t="shared" si="14"/>
        <v>738413.11204706202</v>
      </c>
      <c r="KC8" s="525">
        <f t="shared" si="14"/>
        <v>747516.08401105599</v>
      </c>
      <c r="KD8" s="525">
        <f t="shared" si="14"/>
        <v>759210.31174081599</v>
      </c>
      <c r="KE8" s="525">
        <f t="shared" si="14"/>
        <v>759210.31174081599</v>
      </c>
      <c r="KF8" s="525">
        <f t="shared" si="14"/>
        <v>750388.46216781205</v>
      </c>
      <c r="KG8" s="525">
        <f t="shared" si="14"/>
        <v>776653.29360596405</v>
      </c>
      <c r="KH8" s="525">
        <f t="shared" si="14"/>
        <v>771929.28618439101</v>
      </c>
      <c r="KI8" s="525">
        <f t="shared" si="14"/>
        <v>771929.28618439101</v>
      </c>
      <c r="KJ8" s="525">
        <f t="shared" si="14"/>
        <v>783918.57583480596</v>
      </c>
      <c r="KK8" s="525">
        <f t="shared" si="14"/>
        <v>790340.73566675105</v>
      </c>
      <c r="KL8" s="525">
        <f t="shared" si="14"/>
        <v>806831.85968371003</v>
      </c>
      <c r="KM8" s="525">
        <f t="shared" si="14"/>
        <v>806831.85968371003</v>
      </c>
      <c r="KN8" s="525">
        <f t="shared" si="14"/>
        <v>800943.573426647</v>
      </c>
      <c r="KO8" s="525">
        <f t="shared" si="14"/>
        <v>804259.09513311798</v>
      </c>
      <c r="KP8" s="525">
        <f t="shared" si="14"/>
        <v>816810.02485626796</v>
      </c>
      <c r="KQ8" s="525">
        <f t="shared" si="14"/>
        <v>816810.02485626796</v>
      </c>
      <c r="KR8" s="525">
        <f t="shared" si="14"/>
        <v>800880.65028035501</v>
      </c>
      <c r="KS8" s="525">
        <f t="shared" si="14"/>
        <v>819005.07179124898</v>
      </c>
      <c r="KT8" s="525">
        <f t="shared" si="14"/>
        <v>819005.07179124898</v>
      </c>
    </row>
    <row r="9" spans="1:306" x14ac:dyDescent="0.25">
      <c r="A9" s="525" t="s">
        <v>54</v>
      </c>
      <c r="B9" s="525"/>
      <c r="C9" s="525"/>
      <c r="D9" s="525"/>
      <c r="E9" s="525"/>
      <c r="F9" s="525"/>
      <c r="G9" s="525"/>
      <c r="H9" s="525"/>
      <c r="I9" s="525"/>
      <c r="J9" s="525"/>
      <c r="K9" s="525"/>
      <c r="L9" s="525"/>
      <c r="M9" s="525"/>
      <c r="N9" s="525"/>
      <c r="O9" s="525"/>
      <c r="P9" s="525">
        <f>INDEX($B$4:$HU$4,MATCH(P$12,$B$3:$HU$3,1)+1)</f>
        <v>0</v>
      </c>
      <c r="Q9" s="525">
        <f>INDEX($B$4:$HU$4,MATCH(Q$12,$B$3:$HU$3,1)+1)</f>
        <v>57.925266666666701</v>
      </c>
      <c r="R9" s="525">
        <f>INDEX($B$4:$HU$4,MATCH(R$12,$B$3:$HU$3,1)+1)</f>
        <v>411.07412499999998</v>
      </c>
      <c r="S9" s="525">
        <f t="shared" ref="S9:CD9" si="15">INDEX($B$4:$HU$4,MATCH(S$12,$B$3:$HU$3,1)+1)</f>
        <v>411.07412499999998</v>
      </c>
      <c r="T9" s="525">
        <f t="shared" si="15"/>
        <v>983.44249443207104</v>
      </c>
      <c r="U9" s="525">
        <f t="shared" si="15"/>
        <v>1627.61786387435</v>
      </c>
      <c r="V9" s="525">
        <f t="shared" si="15"/>
        <v>2330.7993576222402</v>
      </c>
      <c r="W9" s="525">
        <f t="shared" si="15"/>
        <v>2330.7993576222402</v>
      </c>
      <c r="X9" s="525">
        <f t="shared" si="15"/>
        <v>3035.7949217252399</v>
      </c>
      <c r="Y9" s="525">
        <f t="shared" si="15"/>
        <v>3642.2489219576701</v>
      </c>
      <c r="Z9" s="525">
        <f t="shared" si="15"/>
        <v>4403.9650411184202</v>
      </c>
      <c r="AA9" s="525">
        <f t="shared" si="15"/>
        <v>4403.9650411184202</v>
      </c>
      <c r="AB9" s="525">
        <f t="shared" si="15"/>
        <v>5556.3090600838404</v>
      </c>
      <c r="AC9" s="525">
        <f t="shared" si="15"/>
        <v>6927.9856144238502</v>
      </c>
      <c r="AD9" s="525">
        <f t="shared" si="15"/>
        <v>7396.4654238959001</v>
      </c>
      <c r="AE9" s="525">
        <f t="shared" si="15"/>
        <v>7396.4654238959001</v>
      </c>
      <c r="AF9" s="525">
        <f t="shared" si="15"/>
        <v>8529.0777417322806</v>
      </c>
      <c r="AG9" s="525">
        <f t="shared" si="15"/>
        <v>9681.6059111240193</v>
      </c>
      <c r="AH9" s="525">
        <f t="shared" si="15"/>
        <v>10342.2462898713</v>
      </c>
      <c r="AI9" s="525">
        <f t="shared" si="15"/>
        <v>10342.2462898713</v>
      </c>
      <c r="AJ9" s="525">
        <f t="shared" si="15"/>
        <v>12338.841187026301</v>
      </c>
      <c r="AK9" s="525">
        <f t="shared" si="15"/>
        <v>13784.791436446199</v>
      </c>
      <c r="AL9" s="525">
        <f t="shared" si="15"/>
        <v>14352.1431837165</v>
      </c>
      <c r="AM9" s="525">
        <f t="shared" si="15"/>
        <v>14352.1431837165</v>
      </c>
      <c r="AN9" s="525">
        <f t="shared" si="15"/>
        <v>16289.628132714901</v>
      </c>
      <c r="AO9" s="525">
        <f t="shared" si="15"/>
        <v>17005.626291375302</v>
      </c>
      <c r="AP9" s="525">
        <f t="shared" si="15"/>
        <v>18505.764152884902</v>
      </c>
      <c r="AQ9" s="525">
        <f t="shared" si="15"/>
        <v>18505.764152884902</v>
      </c>
      <c r="AR9" s="525">
        <f t="shared" si="15"/>
        <v>19851.537585518101</v>
      </c>
      <c r="AS9" s="525">
        <f t="shared" si="15"/>
        <v>21126.3730660127</v>
      </c>
      <c r="AT9" s="525">
        <f t="shared" si="15"/>
        <v>22311.417785838701</v>
      </c>
      <c r="AU9" s="525">
        <f t="shared" si="15"/>
        <v>22311.417785838701</v>
      </c>
      <c r="AV9" s="525">
        <f t="shared" si="15"/>
        <v>23887.635813778899</v>
      </c>
      <c r="AW9" s="525">
        <f t="shared" si="15"/>
        <v>22238.1690059133</v>
      </c>
      <c r="AX9" s="525">
        <f t="shared" si="15"/>
        <v>22887.585878088801</v>
      </c>
      <c r="AY9" s="525">
        <f t="shared" si="15"/>
        <v>22887.585878088801</v>
      </c>
      <c r="AZ9" s="525">
        <f t="shared" si="15"/>
        <v>25807.829502535798</v>
      </c>
      <c r="BA9" s="525">
        <f t="shared" si="15"/>
        <v>26696.346603382899</v>
      </c>
      <c r="BB9" s="525">
        <f t="shared" si="15"/>
        <v>28524.626668712201</v>
      </c>
      <c r="BC9" s="525">
        <f t="shared" si="15"/>
        <v>28524.626668712201</v>
      </c>
      <c r="BD9" s="525">
        <f t="shared" si="15"/>
        <v>30263.6451095011</v>
      </c>
      <c r="BE9" s="525">
        <f t="shared" si="15"/>
        <v>31123.832945378101</v>
      </c>
      <c r="BF9" s="525">
        <f t="shared" si="15"/>
        <v>32558.114409534101</v>
      </c>
      <c r="BG9" s="525">
        <f t="shared" si="15"/>
        <v>32558.114409534101</v>
      </c>
      <c r="BH9" s="525">
        <f t="shared" si="15"/>
        <v>33692.706734383799</v>
      </c>
      <c r="BI9" s="525">
        <f t="shared" si="15"/>
        <v>36044.114056739003</v>
      </c>
      <c r="BJ9" s="525">
        <f t="shared" si="15"/>
        <v>37337.742779847104</v>
      </c>
      <c r="BK9" s="525">
        <f t="shared" si="15"/>
        <v>37337.742779847104</v>
      </c>
      <c r="BL9" s="525">
        <f t="shared" si="15"/>
        <v>40777.963429652598</v>
      </c>
      <c r="BM9" s="525">
        <f t="shared" si="15"/>
        <v>41806.149686753997</v>
      </c>
      <c r="BN9" s="525">
        <f t="shared" si="15"/>
        <v>42017.595661720799</v>
      </c>
      <c r="BO9" s="525">
        <f t="shared" si="15"/>
        <v>42017.595661720799</v>
      </c>
      <c r="BP9" s="525">
        <f t="shared" si="15"/>
        <v>46811.032293254299</v>
      </c>
      <c r="BQ9" s="525">
        <f t="shared" si="15"/>
        <v>46517.184384120599</v>
      </c>
      <c r="BR9" s="525">
        <f t="shared" si="15"/>
        <v>50480.627456010698</v>
      </c>
      <c r="BS9" s="525">
        <f t="shared" si="15"/>
        <v>50480.627456010698</v>
      </c>
      <c r="BT9" s="525">
        <f t="shared" si="15"/>
        <v>52415.631968905604</v>
      </c>
      <c r="BU9" s="525">
        <f t="shared" si="15"/>
        <v>53565.107184062799</v>
      </c>
      <c r="BV9" s="525">
        <f t="shared" si="15"/>
        <v>57479.588745147899</v>
      </c>
      <c r="BW9" s="525">
        <f t="shared" si="15"/>
        <v>57479.588745147899</v>
      </c>
      <c r="BX9" s="525">
        <f t="shared" si="15"/>
        <v>58380.9353902925</v>
      </c>
      <c r="BY9" s="525">
        <f t="shared" si="15"/>
        <v>61973.898321059598</v>
      </c>
      <c r="BZ9" s="525">
        <f t="shared" si="15"/>
        <v>63815.010525920203</v>
      </c>
      <c r="CA9" s="525">
        <f t="shared" si="15"/>
        <v>63815.010525920203</v>
      </c>
      <c r="CB9" s="525">
        <f t="shared" si="15"/>
        <v>65108.532011028401</v>
      </c>
      <c r="CC9" s="525">
        <f t="shared" si="15"/>
        <v>71944.898693460898</v>
      </c>
      <c r="CD9" s="525">
        <f t="shared" si="15"/>
        <v>71462.223070638007</v>
      </c>
      <c r="CE9" s="525">
        <f t="shared" ref="CE9:EP9" si="16">INDEX($B$4:$HU$4,MATCH(CE$12,$B$3:$HU$3,1)+1)</f>
        <v>71462.223070638007</v>
      </c>
      <c r="CF9" s="525">
        <f t="shared" si="16"/>
        <v>80266.083329753397</v>
      </c>
      <c r="CG9" s="525">
        <f t="shared" si="16"/>
        <v>83860.239883240996</v>
      </c>
      <c r="CH9" s="525">
        <f t="shared" si="16"/>
        <v>89538.825530040398</v>
      </c>
      <c r="CI9" s="525">
        <f t="shared" si="16"/>
        <v>89538.825530040398</v>
      </c>
      <c r="CJ9" s="525">
        <f t="shared" si="16"/>
        <v>91302.835592732095</v>
      </c>
      <c r="CK9" s="525">
        <f t="shared" si="16"/>
        <v>98448.630948548205</v>
      </c>
      <c r="CL9" s="525">
        <f t="shared" si="16"/>
        <v>102574.940636641</v>
      </c>
      <c r="CM9" s="525">
        <f t="shared" si="16"/>
        <v>102574.940636641</v>
      </c>
      <c r="CN9" s="525">
        <f t="shared" si="16"/>
        <v>102383.392369846</v>
      </c>
      <c r="CO9" s="525">
        <f t="shared" si="16"/>
        <v>112353.157620243</v>
      </c>
      <c r="CP9" s="525">
        <f t="shared" si="16"/>
        <v>114533.732206185</v>
      </c>
      <c r="CQ9" s="525">
        <f t="shared" si="16"/>
        <v>114533.732206185</v>
      </c>
      <c r="CR9" s="525">
        <f t="shared" si="16"/>
        <v>117853.12489462701</v>
      </c>
      <c r="CS9" s="525">
        <f t="shared" si="16"/>
        <v>128680.663303555</v>
      </c>
      <c r="CT9" s="525">
        <f t="shared" si="16"/>
        <v>129774.506160844</v>
      </c>
      <c r="CU9" s="525">
        <f t="shared" si="16"/>
        <v>129774.506160844</v>
      </c>
      <c r="CV9" s="525">
        <f t="shared" si="16"/>
        <v>136913.43018607801</v>
      </c>
      <c r="CW9" s="525">
        <f t="shared" si="16"/>
        <v>142039.165864051</v>
      </c>
      <c r="CX9" s="525">
        <f t="shared" si="16"/>
        <v>147738.86059221</v>
      </c>
      <c r="CY9" s="525">
        <f t="shared" si="16"/>
        <v>147738.86059221</v>
      </c>
      <c r="CZ9" s="525">
        <f t="shared" si="16"/>
        <v>148381.05044235499</v>
      </c>
      <c r="DA9" s="525">
        <f t="shared" si="16"/>
        <v>159480.737634169</v>
      </c>
      <c r="DB9" s="525">
        <f t="shared" si="16"/>
        <v>162746.74462017501</v>
      </c>
      <c r="DC9" s="525">
        <f t="shared" si="16"/>
        <v>162746.74462017501</v>
      </c>
      <c r="DD9" s="525">
        <f t="shared" si="16"/>
        <v>167721.40348959001</v>
      </c>
      <c r="DE9" s="525">
        <f t="shared" si="16"/>
        <v>176978.28870028499</v>
      </c>
      <c r="DF9" s="525">
        <f t="shared" si="16"/>
        <v>175350.885450987</v>
      </c>
      <c r="DG9" s="525">
        <f t="shared" si="16"/>
        <v>175350.885450987</v>
      </c>
      <c r="DH9" s="525">
        <f t="shared" si="16"/>
        <v>184082.26970208</v>
      </c>
      <c r="DI9" s="525">
        <f t="shared" si="16"/>
        <v>189221.06957374499</v>
      </c>
      <c r="DJ9" s="525">
        <f t="shared" si="16"/>
        <v>188840.772538333</v>
      </c>
      <c r="DK9" s="525">
        <f t="shared" si="16"/>
        <v>188840.772538333</v>
      </c>
      <c r="DL9" s="525">
        <f t="shared" si="16"/>
        <v>201708.86121392</v>
      </c>
      <c r="DM9" s="525">
        <f t="shared" si="16"/>
        <v>203613.70247476001</v>
      </c>
      <c r="DN9" s="525">
        <f t="shared" si="16"/>
        <v>208057.00713061201</v>
      </c>
      <c r="DO9" s="525">
        <f t="shared" si="16"/>
        <v>208057.00713061201</v>
      </c>
      <c r="DP9" s="525">
        <f t="shared" si="16"/>
        <v>213874.28513085301</v>
      </c>
      <c r="DQ9" s="525">
        <f t="shared" si="16"/>
        <v>220056.497650631</v>
      </c>
      <c r="DR9" s="525">
        <f t="shared" si="16"/>
        <v>220296.61950439101</v>
      </c>
      <c r="DS9" s="525">
        <f t="shared" si="16"/>
        <v>220296.61950439101</v>
      </c>
      <c r="DT9" s="525">
        <f t="shared" si="16"/>
        <v>224082.703633364</v>
      </c>
      <c r="DU9" s="525">
        <f t="shared" si="16"/>
        <v>226040.67968062501</v>
      </c>
      <c r="DV9" s="525">
        <f t="shared" si="16"/>
        <v>224311.010569242</v>
      </c>
      <c r="DW9" s="525">
        <f t="shared" si="16"/>
        <v>224311.010569242</v>
      </c>
      <c r="DX9" s="525">
        <f t="shared" si="16"/>
        <v>235390.54387627699</v>
      </c>
      <c r="DY9" s="525">
        <f t="shared" si="16"/>
        <v>233809.73280876299</v>
      </c>
      <c r="DZ9" s="525">
        <f t="shared" si="16"/>
        <v>234532.422156015</v>
      </c>
      <c r="EA9" s="525">
        <f t="shared" si="16"/>
        <v>234532.422156015</v>
      </c>
      <c r="EB9" s="525">
        <f t="shared" si="16"/>
        <v>254548.20862206499</v>
      </c>
      <c r="EC9" s="525">
        <f t="shared" si="16"/>
        <v>252316.18935751799</v>
      </c>
      <c r="ED9" s="525">
        <f t="shared" si="16"/>
        <v>255076.105061254</v>
      </c>
      <c r="EE9" s="525">
        <f t="shared" si="16"/>
        <v>255076.105061254</v>
      </c>
      <c r="EF9" s="525">
        <f t="shared" si="16"/>
        <v>261473.251684588</v>
      </c>
      <c r="EG9" s="525">
        <f t="shared" si="16"/>
        <v>262009.82491201899</v>
      </c>
      <c r="EH9" s="525">
        <f t="shared" si="16"/>
        <v>267330.34738955199</v>
      </c>
      <c r="EI9" s="525">
        <f t="shared" si="16"/>
        <v>267330.34738955199</v>
      </c>
      <c r="EJ9" s="525">
        <f t="shared" si="16"/>
        <v>269198.10935932101</v>
      </c>
      <c r="EK9" s="525">
        <f t="shared" si="16"/>
        <v>269177.01363940001</v>
      </c>
      <c r="EL9" s="525">
        <f t="shared" si="16"/>
        <v>275914.15228826401</v>
      </c>
      <c r="EM9" s="525">
        <f t="shared" si="16"/>
        <v>275914.15228826401</v>
      </c>
      <c r="EN9" s="525">
        <f t="shared" si="16"/>
        <v>279812.42228722101</v>
      </c>
      <c r="EO9" s="525">
        <f t="shared" si="16"/>
        <v>284707.655369771</v>
      </c>
      <c r="EP9" s="525">
        <f t="shared" si="16"/>
        <v>284986.61936657899</v>
      </c>
      <c r="EQ9" s="525">
        <f t="shared" ref="EQ9:HB9" si="17">INDEX($B$4:$HU$4,MATCH(EQ$12,$B$3:$HU$3,1)+1)</f>
        <v>284986.61936657899</v>
      </c>
      <c r="ER9" s="525">
        <f t="shared" si="17"/>
        <v>304750.77618458198</v>
      </c>
      <c r="ES9" s="525">
        <f t="shared" si="17"/>
        <v>299633.09739516902</v>
      </c>
      <c r="ET9" s="525">
        <f t="shared" si="17"/>
        <v>308264.779861007</v>
      </c>
      <c r="EU9" s="525">
        <f t="shared" si="17"/>
        <v>308264.779861007</v>
      </c>
      <c r="EV9" s="525">
        <f t="shared" si="17"/>
        <v>314732.10775192903</v>
      </c>
      <c r="EW9" s="525">
        <f t="shared" si="17"/>
        <v>311039.72352326202</v>
      </c>
      <c r="EX9" s="525">
        <f t="shared" si="17"/>
        <v>322902.20680155099</v>
      </c>
      <c r="EY9" s="525">
        <f t="shared" si="17"/>
        <v>322902.20680155099</v>
      </c>
      <c r="EZ9" s="525">
        <f t="shared" si="17"/>
        <v>321317.43239843298</v>
      </c>
      <c r="FA9" s="525">
        <f t="shared" si="17"/>
        <v>320375.452186885</v>
      </c>
      <c r="FB9" s="525">
        <f t="shared" si="17"/>
        <v>324783.45176639501</v>
      </c>
      <c r="FC9" s="525">
        <f t="shared" si="17"/>
        <v>324783.45176639501</v>
      </c>
      <c r="FD9" s="525">
        <f t="shared" si="17"/>
        <v>321196.40298842301</v>
      </c>
      <c r="FE9" s="525">
        <f t="shared" si="17"/>
        <v>320476.89902010001</v>
      </c>
      <c r="FF9" s="525">
        <f t="shared" si="17"/>
        <v>323835.12104186899</v>
      </c>
      <c r="FG9" s="525">
        <f t="shared" si="17"/>
        <v>323835.12104186899</v>
      </c>
      <c r="FH9" s="525">
        <f t="shared" si="17"/>
        <v>335683.059469097</v>
      </c>
      <c r="FI9" s="525">
        <f t="shared" si="17"/>
        <v>329605.928156387</v>
      </c>
      <c r="FJ9" s="525">
        <f t="shared" si="17"/>
        <v>338272.44805846998</v>
      </c>
      <c r="FK9" s="525">
        <f t="shared" si="17"/>
        <v>338272.44805846998</v>
      </c>
      <c r="FL9" s="525">
        <f t="shared" si="17"/>
        <v>337114.20060194097</v>
      </c>
      <c r="FM9" s="525">
        <f t="shared" si="17"/>
        <v>341051.48979623202</v>
      </c>
      <c r="FN9" s="525">
        <f t="shared" si="17"/>
        <v>350991.381199695</v>
      </c>
      <c r="FO9" s="525">
        <f t="shared" si="17"/>
        <v>350991.381199695</v>
      </c>
      <c r="FP9" s="525">
        <f t="shared" si="17"/>
        <v>344912.86800055101</v>
      </c>
      <c r="FQ9" s="525">
        <f t="shared" si="17"/>
        <v>358863.50514540402</v>
      </c>
      <c r="FR9" s="525">
        <f t="shared" si="17"/>
        <v>356914.07984840602</v>
      </c>
      <c r="FS9" s="525">
        <f t="shared" si="17"/>
        <v>356914.07984840602</v>
      </c>
      <c r="FT9" s="525">
        <f t="shared" si="17"/>
        <v>354372.68992516497</v>
      </c>
      <c r="FU9" s="525">
        <f t="shared" si="17"/>
        <v>359125.614318665</v>
      </c>
      <c r="FV9" s="525">
        <f t="shared" si="17"/>
        <v>355713.60695690702</v>
      </c>
      <c r="FW9" s="525">
        <f t="shared" si="17"/>
        <v>355713.60695690702</v>
      </c>
      <c r="FX9" s="525">
        <f t="shared" si="17"/>
        <v>369854.98842801602</v>
      </c>
      <c r="FY9" s="525">
        <f t="shared" si="17"/>
        <v>376326.14838103001</v>
      </c>
      <c r="FZ9" s="525">
        <f t="shared" si="17"/>
        <v>381037.23754858901</v>
      </c>
      <c r="GA9" s="525">
        <f t="shared" si="17"/>
        <v>381037.23754858901</v>
      </c>
      <c r="GB9" s="525">
        <f t="shared" si="17"/>
        <v>374930.905099614</v>
      </c>
      <c r="GC9" s="525">
        <f t="shared" si="17"/>
        <v>387298.09345244098</v>
      </c>
      <c r="GD9" s="525">
        <f t="shared" si="17"/>
        <v>388047.98282730801</v>
      </c>
      <c r="GE9" s="525">
        <f t="shared" si="17"/>
        <v>388047.98282730801</v>
      </c>
      <c r="GF9" s="525">
        <f t="shared" si="17"/>
        <v>383762.45749739802</v>
      </c>
      <c r="GG9" s="525">
        <f t="shared" si="17"/>
        <v>396565.49524993001</v>
      </c>
      <c r="GH9" s="525">
        <f t="shared" si="17"/>
        <v>390007.26245011803</v>
      </c>
      <c r="GI9" s="525">
        <f t="shared" si="17"/>
        <v>390007.26245011803</v>
      </c>
      <c r="GJ9" s="525">
        <f t="shared" si="17"/>
        <v>396299.42407451099</v>
      </c>
      <c r="GK9" s="525">
        <f t="shared" si="17"/>
        <v>404154.27012737101</v>
      </c>
      <c r="GL9" s="525">
        <f t="shared" si="17"/>
        <v>400685.82908295601</v>
      </c>
      <c r="GM9" s="525">
        <f t="shared" si="17"/>
        <v>400685.82908295601</v>
      </c>
      <c r="GN9" s="525">
        <f t="shared" si="17"/>
        <v>415747.951114789</v>
      </c>
      <c r="GO9" s="525">
        <f t="shared" si="17"/>
        <v>423272.75884088798</v>
      </c>
      <c r="GP9" s="525">
        <f t="shared" si="17"/>
        <v>427504.75584763102</v>
      </c>
      <c r="GQ9" s="525">
        <f t="shared" si="17"/>
        <v>427504.75584763102</v>
      </c>
      <c r="GR9" s="525">
        <f t="shared" si="17"/>
        <v>423679.73788869299</v>
      </c>
      <c r="GS9" s="525">
        <f t="shared" si="17"/>
        <v>432872.10384571698</v>
      </c>
      <c r="GT9" s="525">
        <f t="shared" si="17"/>
        <v>430606.72436689603</v>
      </c>
      <c r="GU9" s="525">
        <f t="shared" si="17"/>
        <v>430606.72436689603</v>
      </c>
      <c r="GV9" s="525">
        <f t="shared" si="17"/>
        <v>435863.84734876303</v>
      </c>
      <c r="GW9" s="525">
        <f t="shared" si="17"/>
        <v>455547.83795433602</v>
      </c>
      <c r="GX9" s="525">
        <f t="shared" si="17"/>
        <v>447358.471401505</v>
      </c>
      <c r="GY9" s="525">
        <f t="shared" si="17"/>
        <v>447358.471401505</v>
      </c>
      <c r="GZ9" s="525">
        <f t="shared" si="17"/>
        <v>464129.32910909801</v>
      </c>
      <c r="HA9" s="525">
        <f t="shared" si="17"/>
        <v>456476.68652527098</v>
      </c>
      <c r="HB9" s="525">
        <f t="shared" si="17"/>
        <v>450088.27730722801</v>
      </c>
      <c r="HC9" s="525">
        <f t="shared" ref="HC9:JO9" si="18">INDEX($B$4:$HU$4,MATCH(HC$12,$B$3:$HU$3,1)+1)</f>
        <v>450088.27730722801</v>
      </c>
      <c r="HD9" s="525">
        <f t="shared" si="18"/>
        <v>470355.536956592</v>
      </c>
      <c r="HE9" s="525">
        <f t="shared" si="18"/>
        <v>471938.58596312098</v>
      </c>
      <c r="HF9" s="525">
        <f t="shared" si="18"/>
        <v>469637.53827542998</v>
      </c>
      <c r="HG9" s="525">
        <f t="shared" si="18"/>
        <v>469637.53827542998</v>
      </c>
      <c r="HH9" s="525">
        <f t="shared" si="18"/>
        <v>474244.03923890198</v>
      </c>
      <c r="HI9" s="525">
        <f t="shared" si="18"/>
        <v>477596.631952481</v>
      </c>
      <c r="HJ9" s="525">
        <f t="shared" si="18"/>
        <v>472757.86972635001</v>
      </c>
      <c r="HK9" s="525">
        <f t="shared" si="18"/>
        <v>472757.86972635001</v>
      </c>
      <c r="HL9" s="525">
        <f t="shared" si="18"/>
        <v>478071.04768096999</v>
      </c>
      <c r="HM9" s="525">
        <f t="shared" si="18"/>
        <v>485760.75638855097</v>
      </c>
      <c r="HN9" s="525">
        <f t="shared" si="18"/>
        <v>478202.76073121902</v>
      </c>
      <c r="HO9" s="525">
        <f t="shared" si="18"/>
        <v>478202.76073121902</v>
      </c>
      <c r="HP9" s="525">
        <f t="shared" si="18"/>
        <v>490937.54745685402</v>
      </c>
      <c r="HQ9" s="525">
        <f t="shared" si="18"/>
        <v>492446.19078010297</v>
      </c>
      <c r="HR9" s="525">
        <f t="shared" si="18"/>
        <v>495683.51189857401</v>
      </c>
      <c r="HS9" s="525">
        <f t="shared" si="18"/>
        <v>495683.51189857401</v>
      </c>
      <c r="HT9" s="525">
        <f t="shared" si="18"/>
        <v>511119.33771062799</v>
      </c>
      <c r="HU9" s="525">
        <f t="shared" si="18"/>
        <v>508752.977319317</v>
      </c>
      <c r="HV9" s="525">
        <f t="shared" si="18"/>
        <v>514240.948299015</v>
      </c>
      <c r="HW9" s="525">
        <f t="shared" si="18"/>
        <v>514240.948299015</v>
      </c>
      <c r="HX9" s="525">
        <f t="shared" si="18"/>
        <v>518688.65101547498</v>
      </c>
      <c r="HY9" s="525">
        <f t="shared" si="18"/>
        <v>516279.56377611298</v>
      </c>
      <c r="HZ9" s="525">
        <f t="shared" si="18"/>
        <v>528246.19470872602</v>
      </c>
      <c r="IA9" s="525">
        <f t="shared" si="18"/>
        <v>528246.19470872602</v>
      </c>
      <c r="IB9" s="525">
        <f t="shared" si="18"/>
        <v>528488.83046643203</v>
      </c>
      <c r="IC9" s="525">
        <f t="shared" si="18"/>
        <v>533765.77438571001</v>
      </c>
      <c r="ID9" s="525">
        <f t="shared" si="18"/>
        <v>539851.44894888299</v>
      </c>
      <c r="IE9" s="525">
        <f t="shared" si="18"/>
        <v>539851.44894888299</v>
      </c>
      <c r="IF9" s="525">
        <f t="shared" si="18"/>
        <v>546030.59173778596</v>
      </c>
      <c r="IG9" s="525">
        <f t="shared" si="18"/>
        <v>542626.56719490897</v>
      </c>
      <c r="IH9" s="525">
        <f t="shared" si="18"/>
        <v>535205.35565640405</v>
      </c>
      <c r="II9" s="525">
        <f t="shared" si="18"/>
        <v>535205.35565640405</v>
      </c>
      <c r="IJ9" s="525">
        <f t="shared" si="18"/>
        <v>565675.58197806403</v>
      </c>
      <c r="IK9" s="525">
        <f t="shared" si="18"/>
        <v>556100.55095499801</v>
      </c>
      <c r="IL9" s="525">
        <f t="shared" si="18"/>
        <v>572977.84603135602</v>
      </c>
      <c r="IM9" s="525">
        <f t="shared" si="18"/>
        <v>572977.84603135602</v>
      </c>
      <c r="IN9" s="525">
        <f t="shared" si="18"/>
        <v>576020.00275812799</v>
      </c>
      <c r="IO9" s="525">
        <f t="shared" si="18"/>
        <v>569632.50628583902</v>
      </c>
      <c r="IP9" s="525">
        <f t="shared" si="18"/>
        <v>584401.39577169297</v>
      </c>
      <c r="IQ9" s="525">
        <f t="shared" si="18"/>
        <v>584401.39577169297</v>
      </c>
      <c r="IR9" s="525">
        <f t="shared" si="18"/>
        <v>577616.828682233</v>
      </c>
      <c r="IS9" s="525">
        <f t="shared" si="18"/>
        <v>588345.04858769302</v>
      </c>
      <c r="IT9" s="525">
        <f t="shared" si="18"/>
        <v>588236.06531748304</v>
      </c>
      <c r="IU9" s="525">
        <f t="shared" si="18"/>
        <v>588236.06531748304</v>
      </c>
      <c r="IV9" s="525">
        <f t="shared" si="18"/>
        <v>593159.32928907895</v>
      </c>
      <c r="IW9" s="525">
        <f t="shared" si="18"/>
        <v>606976.27902879799</v>
      </c>
      <c r="IX9" s="525">
        <f t="shared" si="18"/>
        <v>595163.220560599</v>
      </c>
      <c r="IY9" s="525">
        <f t="shared" si="18"/>
        <v>595163.220560599</v>
      </c>
      <c r="IZ9" s="525">
        <f t="shared" si="18"/>
        <v>625370.34752898198</v>
      </c>
      <c r="JA9" s="525">
        <f t="shared" si="18"/>
        <v>629060.10747306701</v>
      </c>
      <c r="JB9" s="525">
        <f t="shared" si="18"/>
        <v>644143.95800726302</v>
      </c>
      <c r="JC9" s="525">
        <f t="shared" si="18"/>
        <v>644143.95800726302</v>
      </c>
      <c r="JD9" s="525">
        <f t="shared" si="18"/>
        <v>644690.10107376904</v>
      </c>
      <c r="JE9" s="525">
        <f t="shared" si="18"/>
        <v>647461.58820612903</v>
      </c>
      <c r="JF9" s="525">
        <f t="shared" si="18"/>
        <v>659037.27578248701</v>
      </c>
      <c r="JG9" s="525">
        <f t="shared" si="18"/>
        <v>659037.27578248701</v>
      </c>
      <c r="JH9" s="525">
        <f t="shared" si="18"/>
        <v>644690.95787016803</v>
      </c>
      <c r="JI9" s="525">
        <f t="shared" si="18"/>
        <v>665080.86521845299</v>
      </c>
      <c r="JJ9" s="525">
        <f t="shared" si="18"/>
        <v>665033.41559820704</v>
      </c>
      <c r="JK9" s="525">
        <f t="shared" si="18"/>
        <v>665033.41559820704</v>
      </c>
      <c r="JL9" s="525">
        <f t="shared" si="18"/>
        <v>664512.44009982899</v>
      </c>
      <c r="JM9" s="525">
        <f t="shared" si="18"/>
        <v>690199.60553760803</v>
      </c>
      <c r="JN9" s="525">
        <f t="shared" si="18"/>
        <v>674950.97799122997</v>
      </c>
      <c r="JO9" s="525">
        <f t="shared" si="18"/>
        <v>674950.97799122997</v>
      </c>
      <c r="JP9" s="525">
        <f t="shared" ref="JP9:KT9" si="19">INDEX($B$4:$HU$4,MATCH(JP$12,$B$3:$HU$3,1)+1)</f>
        <v>700637.54229764198</v>
      </c>
      <c r="JQ9" s="525">
        <f t="shared" si="19"/>
        <v>706762.94732553698</v>
      </c>
      <c r="JR9" s="525">
        <f t="shared" si="19"/>
        <v>714581.33162871702</v>
      </c>
      <c r="JS9" s="525">
        <f t="shared" si="19"/>
        <v>714581.33162871702</v>
      </c>
      <c r="JT9" s="525">
        <f t="shared" si="19"/>
        <v>705276.21229507297</v>
      </c>
      <c r="JU9" s="525">
        <f t="shared" si="19"/>
        <v>722292.56924043398</v>
      </c>
      <c r="JV9" s="525">
        <f t="shared" si="19"/>
        <v>732919.20176755998</v>
      </c>
      <c r="JW9" s="525">
        <f t="shared" si="19"/>
        <v>732919.20176755998</v>
      </c>
      <c r="JX9" s="525">
        <f t="shared" si="19"/>
        <v>724635.94359363103</v>
      </c>
      <c r="JY9" s="525">
        <f t="shared" si="19"/>
        <v>745254.26424087398</v>
      </c>
      <c r="JZ9" s="525">
        <f t="shared" si="19"/>
        <v>738413.11204706202</v>
      </c>
      <c r="KA9" s="525">
        <f t="shared" si="19"/>
        <v>738413.11204706202</v>
      </c>
      <c r="KB9" s="525">
        <f t="shared" si="19"/>
        <v>747516.08401105599</v>
      </c>
      <c r="KC9" s="525">
        <f t="shared" si="19"/>
        <v>759210.31174081599</v>
      </c>
      <c r="KD9" s="525">
        <f t="shared" si="19"/>
        <v>750388.46216781205</v>
      </c>
      <c r="KE9" s="525">
        <f t="shared" si="19"/>
        <v>750388.46216781205</v>
      </c>
      <c r="KF9" s="525">
        <f t="shared" si="19"/>
        <v>776653.29360596405</v>
      </c>
      <c r="KG9" s="525">
        <f t="shared" si="19"/>
        <v>771929.28618439101</v>
      </c>
      <c r="KH9" s="525">
        <f t="shared" si="19"/>
        <v>783918.57583480596</v>
      </c>
      <c r="KI9" s="525">
        <f t="shared" si="19"/>
        <v>783918.57583480596</v>
      </c>
      <c r="KJ9" s="525">
        <f t="shared" si="19"/>
        <v>790340.73566675105</v>
      </c>
      <c r="KK9" s="525">
        <f t="shared" si="19"/>
        <v>806831.85968371003</v>
      </c>
      <c r="KL9" s="525">
        <f t="shared" si="19"/>
        <v>800943.573426647</v>
      </c>
      <c r="KM9" s="525">
        <f t="shared" si="19"/>
        <v>800943.573426647</v>
      </c>
      <c r="KN9" s="525">
        <f t="shared" si="19"/>
        <v>804259.09513311798</v>
      </c>
      <c r="KO9" s="525">
        <f t="shared" si="19"/>
        <v>816810.02485626796</v>
      </c>
      <c r="KP9" s="525">
        <f t="shared" si="19"/>
        <v>800880.65028035501</v>
      </c>
      <c r="KQ9" s="525">
        <f t="shared" si="19"/>
        <v>800880.65028035501</v>
      </c>
      <c r="KR9" s="525">
        <f t="shared" si="19"/>
        <v>819005.07179124898</v>
      </c>
      <c r="KS9" s="525" t="e">
        <f t="shared" si="19"/>
        <v>#REF!</v>
      </c>
      <c r="KT9" s="525" t="e">
        <f t="shared" si="19"/>
        <v>#REF!</v>
      </c>
    </row>
    <row r="10" spans="1:306" x14ac:dyDescent="0.25">
      <c r="A10" s="525"/>
      <c r="B10" s="525"/>
      <c r="C10" s="525"/>
      <c r="D10" s="525"/>
      <c r="E10" s="525"/>
      <c r="F10" s="525"/>
      <c r="G10" s="525"/>
      <c r="H10" s="525"/>
      <c r="I10" s="525"/>
      <c r="J10" s="525"/>
      <c r="K10" s="525"/>
      <c r="L10" s="525"/>
      <c r="M10" s="525"/>
      <c r="N10" s="525"/>
      <c r="O10" s="525"/>
      <c r="P10" s="525"/>
      <c r="Q10" s="525"/>
      <c r="R10" s="525"/>
      <c r="S10" s="525"/>
      <c r="T10" s="525"/>
      <c r="U10" s="525"/>
      <c r="V10" s="525"/>
      <c r="W10" s="525"/>
      <c r="X10" s="525"/>
      <c r="Y10" s="525"/>
      <c r="Z10" s="525"/>
      <c r="AA10" s="525"/>
      <c r="AB10" s="525"/>
      <c r="AC10" s="525"/>
      <c r="AD10" s="525"/>
      <c r="AE10" s="525"/>
      <c r="AF10" s="525"/>
      <c r="AG10" s="525"/>
      <c r="AH10" s="525"/>
      <c r="AI10" s="525"/>
      <c r="AJ10" s="525"/>
      <c r="AK10" s="525"/>
      <c r="AL10" s="525"/>
      <c r="AM10" s="525"/>
      <c r="AN10" s="525"/>
      <c r="AO10" s="525"/>
      <c r="AP10" s="525"/>
      <c r="AQ10" s="525"/>
      <c r="AR10" s="525"/>
      <c r="AS10" s="525"/>
      <c r="AT10" s="525"/>
      <c r="AU10" s="525"/>
      <c r="AV10" s="525"/>
      <c r="AW10" s="525"/>
      <c r="AX10" s="525"/>
      <c r="AY10" s="525"/>
      <c r="AZ10" s="525"/>
      <c r="BA10" s="525"/>
      <c r="BB10" s="525"/>
      <c r="BC10" s="525"/>
      <c r="BD10" s="525"/>
      <c r="BE10" s="525"/>
      <c r="BF10" s="525"/>
      <c r="BG10" s="525"/>
      <c r="BH10" s="525"/>
      <c r="BI10" s="525"/>
      <c r="BJ10" s="525"/>
      <c r="BK10" s="525"/>
      <c r="BL10" s="525"/>
      <c r="BM10" s="525"/>
      <c r="BN10" s="525"/>
      <c r="BO10" s="525"/>
      <c r="BP10" s="525"/>
      <c r="BQ10" s="525"/>
      <c r="BR10" s="525"/>
      <c r="BS10" s="525"/>
      <c r="BT10" s="525"/>
      <c r="BU10" s="525"/>
      <c r="BV10" s="525"/>
      <c r="BW10" s="525"/>
      <c r="BX10" s="525"/>
      <c r="BY10" s="525"/>
      <c r="BZ10" s="525"/>
      <c r="CA10" s="525"/>
      <c r="CB10" s="525"/>
      <c r="CC10" s="525"/>
      <c r="CD10" s="525"/>
      <c r="CE10" s="525"/>
      <c r="CF10" s="525"/>
      <c r="CG10" s="525"/>
      <c r="CH10" s="525"/>
      <c r="CI10" s="525"/>
      <c r="CJ10" s="525"/>
      <c r="CK10" s="525"/>
      <c r="CL10" s="525"/>
      <c r="CM10" s="525"/>
      <c r="CN10" s="525"/>
      <c r="CO10" s="525"/>
      <c r="CP10" s="525"/>
      <c r="CQ10" s="525"/>
      <c r="CR10" s="525"/>
      <c r="CS10" s="525"/>
      <c r="CT10" s="525"/>
      <c r="CU10" s="525"/>
      <c r="CV10" s="525"/>
      <c r="CW10" s="525"/>
      <c r="CX10" s="525"/>
      <c r="CY10" s="525"/>
      <c r="CZ10" s="525"/>
      <c r="DA10" s="525"/>
      <c r="DB10" s="525"/>
      <c r="DC10" s="525"/>
      <c r="DD10" s="525"/>
      <c r="DE10" s="525"/>
      <c r="DF10" s="525"/>
      <c r="DG10" s="525"/>
      <c r="DH10" s="525"/>
      <c r="DI10" s="525"/>
      <c r="DJ10" s="525"/>
      <c r="DK10" s="525"/>
      <c r="DL10" s="525"/>
      <c r="DM10" s="525"/>
      <c r="DN10" s="525"/>
      <c r="DO10" s="525"/>
      <c r="DP10" s="525"/>
      <c r="DQ10" s="525"/>
      <c r="DR10" s="525"/>
      <c r="DS10" s="525"/>
      <c r="DT10" s="525"/>
      <c r="DU10" s="525"/>
      <c r="DV10" s="525"/>
      <c r="DW10" s="525"/>
      <c r="DX10" s="525"/>
      <c r="DY10" s="525"/>
      <c r="DZ10" s="525"/>
      <c r="EA10" s="525"/>
      <c r="EB10" s="525"/>
      <c r="EC10" s="525"/>
      <c r="ED10" s="525"/>
      <c r="EE10" s="525"/>
      <c r="EF10" s="525"/>
      <c r="EG10" s="525"/>
      <c r="EH10" s="525"/>
      <c r="EI10" s="525"/>
      <c r="EJ10" s="525"/>
      <c r="EK10" s="525"/>
      <c r="EL10" s="525"/>
      <c r="EM10" s="525"/>
      <c r="EN10" s="525"/>
      <c r="EO10" s="525"/>
      <c r="EP10" s="525"/>
      <c r="EQ10" s="525"/>
      <c r="ER10" s="525"/>
      <c r="ES10" s="525"/>
      <c r="ET10" s="525"/>
      <c r="EU10" s="525"/>
      <c r="EV10" s="525"/>
      <c r="EW10" s="525"/>
      <c r="EX10" s="525"/>
      <c r="EY10" s="525"/>
      <c r="EZ10" s="525"/>
      <c r="FA10" s="525"/>
      <c r="FB10" s="525"/>
      <c r="FC10" s="525"/>
      <c r="FD10" s="525"/>
      <c r="FE10" s="525"/>
      <c r="FF10" s="525"/>
      <c r="FG10" s="525"/>
      <c r="FH10" s="525"/>
      <c r="FI10" s="525"/>
      <c r="FJ10" s="525"/>
      <c r="FK10" s="525"/>
      <c r="FL10" s="525"/>
      <c r="FM10" s="525"/>
      <c r="FN10" s="525"/>
      <c r="FO10" s="525"/>
      <c r="FP10" s="525"/>
      <c r="FQ10" s="525"/>
      <c r="FR10" s="525"/>
      <c r="FS10" s="525"/>
      <c r="FT10" s="525"/>
      <c r="FU10" s="525"/>
      <c r="FV10" s="525"/>
      <c r="FW10" s="525"/>
      <c r="FX10" s="525"/>
      <c r="FY10" s="525"/>
      <c r="FZ10" s="525"/>
      <c r="GA10" s="525"/>
      <c r="GB10" s="525"/>
      <c r="GC10" s="525"/>
      <c r="GD10" s="525"/>
      <c r="GE10" s="525"/>
      <c r="GF10" s="525"/>
      <c r="GG10" s="525"/>
      <c r="GH10" s="525"/>
      <c r="GI10" s="525"/>
      <c r="GJ10" s="525"/>
      <c r="GK10" s="525"/>
      <c r="GL10" s="525"/>
      <c r="GM10" s="525"/>
      <c r="GN10" s="525"/>
      <c r="GO10" s="525"/>
      <c r="GP10" s="525"/>
      <c r="GQ10" s="525"/>
      <c r="GR10" s="525"/>
      <c r="GS10" s="525"/>
      <c r="GT10" s="525"/>
      <c r="GU10" s="525"/>
      <c r="GV10" s="525"/>
      <c r="GW10" s="525"/>
      <c r="GX10" s="525"/>
      <c r="GY10" s="525"/>
      <c r="GZ10" s="525"/>
      <c r="HA10" s="525"/>
      <c r="HB10" s="525"/>
      <c r="HC10" s="525"/>
      <c r="HD10" s="525"/>
      <c r="HE10" s="525"/>
      <c r="HF10" s="525"/>
      <c r="HG10" s="525"/>
      <c r="HH10" s="525"/>
      <c r="HI10" s="525"/>
      <c r="HJ10" s="525"/>
      <c r="HK10" s="525"/>
      <c r="HL10" s="525"/>
      <c r="HM10" s="525"/>
      <c r="HN10" s="525"/>
      <c r="HO10" s="525"/>
      <c r="HP10" s="525"/>
      <c r="HQ10" s="525"/>
      <c r="HR10" s="525"/>
      <c r="HS10" s="525"/>
      <c r="HT10" s="525"/>
      <c r="HU10" s="525"/>
      <c r="HV10" s="525"/>
      <c r="HW10" s="525"/>
      <c r="HX10" s="525"/>
      <c r="HY10" s="525"/>
      <c r="HZ10" s="525"/>
      <c r="IA10" s="525"/>
      <c r="IB10" s="525"/>
      <c r="IC10" s="525"/>
      <c r="ID10" s="525"/>
      <c r="IE10" s="525"/>
      <c r="IF10" s="525"/>
      <c r="IG10" s="525"/>
      <c r="IH10" s="525"/>
      <c r="II10" s="525"/>
      <c r="IJ10" s="525"/>
      <c r="IK10" s="525"/>
      <c r="IL10" s="525"/>
      <c r="IM10" s="525"/>
      <c r="IN10" s="525"/>
      <c r="IO10" s="525"/>
      <c r="IP10" s="525"/>
      <c r="IQ10" s="525"/>
      <c r="IR10" s="525"/>
      <c r="IS10" s="525"/>
      <c r="IT10" s="525"/>
      <c r="IU10" s="525"/>
      <c r="IV10" s="525"/>
      <c r="IW10" s="525"/>
      <c r="IX10" s="525"/>
      <c r="IY10" s="525"/>
      <c r="IZ10" s="525"/>
      <c r="JA10" s="525"/>
      <c r="JB10" s="525"/>
      <c r="JC10" s="525"/>
      <c r="JD10" s="525"/>
      <c r="JE10" s="525"/>
      <c r="JF10" s="525"/>
      <c r="JG10" s="525"/>
      <c r="JH10" s="525"/>
      <c r="JI10" s="525"/>
      <c r="JJ10" s="525"/>
      <c r="JK10" s="525"/>
      <c r="JL10" s="525"/>
      <c r="JM10" s="525"/>
      <c r="JN10" s="525"/>
      <c r="JO10" s="525"/>
      <c r="JP10" s="525"/>
      <c r="JQ10" s="525"/>
      <c r="JR10" s="525"/>
      <c r="JS10" s="525"/>
      <c r="JT10" s="525"/>
      <c r="JU10" s="525"/>
      <c r="JV10" s="525"/>
      <c r="JW10" s="525"/>
      <c r="JX10" s="525"/>
      <c r="JY10" s="525"/>
      <c r="JZ10" s="525"/>
      <c r="KA10" s="525"/>
      <c r="KB10" s="525"/>
      <c r="KC10" s="525"/>
      <c r="KD10" s="525"/>
      <c r="KE10" s="525"/>
      <c r="KF10" s="525"/>
      <c r="KG10" s="525"/>
      <c r="KH10" s="525"/>
      <c r="KI10" s="525"/>
      <c r="KJ10" s="525"/>
      <c r="KK10" s="525"/>
      <c r="KL10" s="525"/>
      <c r="KM10" s="525"/>
      <c r="KN10" s="525"/>
      <c r="KO10" s="525"/>
      <c r="KP10" s="525"/>
      <c r="KQ10" s="525"/>
      <c r="KR10" s="525"/>
      <c r="KS10" s="525"/>
      <c r="KT10" s="525"/>
    </row>
    <row r="11" spans="1:306" x14ac:dyDescent="0.25">
      <c r="A11" s="525"/>
      <c r="B11" s="525"/>
      <c r="C11" s="525"/>
      <c r="D11" s="525"/>
      <c r="E11" s="525"/>
      <c r="F11" s="525"/>
      <c r="G11" s="525"/>
      <c r="H11" s="525"/>
      <c r="I11" s="525"/>
      <c r="J11" s="525"/>
      <c r="K11" s="525"/>
      <c r="L11" s="525"/>
      <c r="M11" s="525"/>
      <c r="N11" s="525"/>
      <c r="O11" s="525"/>
      <c r="P11" s="525"/>
      <c r="Q11" s="525"/>
      <c r="R11" s="525"/>
      <c r="S11" s="525"/>
      <c r="T11" s="525"/>
      <c r="U11" s="525"/>
      <c r="V11" s="525"/>
      <c r="W11" s="525"/>
      <c r="X11" s="525"/>
      <c r="Y11" s="525"/>
      <c r="Z11" s="525"/>
      <c r="AA11" s="525"/>
      <c r="AB11" s="525"/>
      <c r="AC11" s="525"/>
      <c r="AD11" s="525"/>
      <c r="AE11" s="525"/>
      <c r="AF11" s="525"/>
      <c r="AG11" s="525"/>
      <c r="AH11" s="525"/>
      <c r="AI11" s="525"/>
      <c r="AJ11" s="525"/>
      <c r="AK11" s="525"/>
      <c r="AL11" s="525"/>
      <c r="AM11" s="525"/>
      <c r="AN11" s="525"/>
      <c r="AO11" s="525"/>
      <c r="AP11" s="525"/>
      <c r="AQ11" s="525"/>
      <c r="AR11" s="525"/>
      <c r="AS11" s="525"/>
      <c r="AT11" s="525"/>
      <c r="AU11" s="525"/>
      <c r="AV11" s="525"/>
      <c r="AW11" s="525"/>
      <c r="AX11" s="525"/>
      <c r="AY11" s="525"/>
      <c r="AZ11" s="525"/>
      <c r="BA11" s="525"/>
      <c r="BB11" s="525"/>
      <c r="BC11" s="525"/>
      <c r="BD11" s="525"/>
      <c r="BE11" s="525"/>
      <c r="BF11" s="525"/>
      <c r="BG11" s="525"/>
      <c r="BH11" s="525"/>
      <c r="BI11" s="525"/>
      <c r="BJ11" s="525"/>
      <c r="BK11" s="525"/>
      <c r="BL11" s="525"/>
      <c r="BM11" s="525"/>
      <c r="BN11" s="525"/>
      <c r="BO11" s="525"/>
      <c r="BP11" s="525"/>
      <c r="BQ11" s="525"/>
      <c r="BR11" s="525"/>
      <c r="BS11" s="525"/>
      <c r="BT11" s="525"/>
      <c r="BU11" s="525"/>
      <c r="BV11" s="525"/>
      <c r="BW11" s="525"/>
      <c r="BX11" s="525"/>
      <c r="BY11" s="525"/>
      <c r="BZ11" s="525"/>
      <c r="CA11" s="525"/>
      <c r="CB11" s="525"/>
      <c r="CC11" s="525"/>
      <c r="CD11" s="525"/>
      <c r="CE11" s="525"/>
      <c r="CF11" s="525"/>
      <c r="CG11" s="525"/>
      <c r="CH11" s="525"/>
      <c r="CI11" s="525"/>
      <c r="CJ11" s="525"/>
      <c r="CK11" s="525"/>
      <c r="CL11" s="525"/>
      <c r="CM11" s="525"/>
      <c r="CN11" s="525"/>
      <c r="CO11" s="525"/>
      <c r="CP11" s="525"/>
      <c r="CQ11" s="525"/>
      <c r="CR11" s="525"/>
      <c r="CS11" s="525"/>
      <c r="CT11" s="525"/>
      <c r="CU11" s="525"/>
      <c r="CV11" s="525"/>
      <c r="CW11" s="525"/>
      <c r="CX11" s="525"/>
      <c r="CY11" s="525"/>
      <c r="CZ11" s="525"/>
      <c r="DA11" s="525"/>
      <c r="DB11" s="525"/>
      <c r="DC11" s="525"/>
      <c r="DD11" s="525"/>
      <c r="DE11" s="525"/>
      <c r="DF11" s="525"/>
      <c r="DG11" s="525"/>
      <c r="DH11" s="525"/>
      <c r="DI11" s="525"/>
      <c r="DJ11" s="525"/>
      <c r="DK11" s="525"/>
      <c r="DL11" s="525"/>
      <c r="DM11" s="525"/>
      <c r="DN11" s="525"/>
      <c r="DO11" s="525"/>
      <c r="DP11" s="525"/>
      <c r="DQ11" s="525"/>
      <c r="DR11" s="525"/>
      <c r="DS11" s="525"/>
      <c r="DT11" s="525"/>
      <c r="DU11" s="525"/>
      <c r="DV11" s="525"/>
      <c r="DW11" s="525"/>
      <c r="DX11" s="525"/>
      <c r="DY11" s="525"/>
      <c r="DZ11" s="525"/>
      <c r="EA11" s="525"/>
      <c r="EB11" s="525"/>
      <c r="EC11" s="525"/>
      <c r="ED11" s="525"/>
      <c r="EE11" s="525"/>
      <c r="EF11" s="525"/>
      <c r="EG11" s="525"/>
      <c r="EH11" s="525"/>
      <c r="EI11" s="525"/>
      <c r="EJ11" s="525"/>
      <c r="EK11" s="525"/>
      <c r="EL11" s="525"/>
      <c r="EM11" s="525"/>
      <c r="EN11" s="525"/>
      <c r="EO11" s="525"/>
      <c r="EP11" s="525"/>
      <c r="EQ11" s="525"/>
      <c r="ER11" s="525"/>
      <c r="ES11" s="525"/>
      <c r="ET11" s="525"/>
      <c r="EU11" s="525"/>
      <c r="EV11" s="525"/>
      <c r="EW11" s="525"/>
      <c r="EX11" s="525"/>
      <c r="EY11" s="525"/>
      <c r="EZ11" s="525"/>
      <c r="FA11" s="525"/>
      <c r="FB11" s="525"/>
      <c r="FC11" s="525"/>
      <c r="FD11" s="525"/>
      <c r="FE11" s="525"/>
      <c r="FF11" s="525"/>
      <c r="FG11" s="525"/>
      <c r="FH11" s="525"/>
      <c r="FI11" s="525"/>
      <c r="FJ11" s="525"/>
      <c r="FK11" s="525"/>
      <c r="FL11" s="525"/>
      <c r="FM11" s="525"/>
      <c r="FN11" s="525"/>
      <c r="FO11" s="525"/>
      <c r="FP11" s="525"/>
      <c r="FQ11" s="525"/>
      <c r="FR11" s="525"/>
      <c r="FS11" s="525"/>
      <c r="FT11" s="525"/>
      <c r="FU11" s="525"/>
      <c r="FV11" s="525"/>
      <c r="FW11" s="525"/>
      <c r="FX11" s="525"/>
      <c r="FY11" s="525"/>
      <c r="FZ11" s="525"/>
      <c r="GA11" s="525"/>
      <c r="GB11" s="525"/>
      <c r="GC11" s="525"/>
      <c r="GD11" s="525"/>
      <c r="GE11" s="525"/>
      <c r="GF11" s="525"/>
      <c r="GG11" s="525"/>
      <c r="GH11" s="525"/>
      <c r="GI11" s="525"/>
      <c r="GJ11" s="525"/>
      <c r="GK11" s="525"/>
      <c r="GL11" s="525"/>
      <c r="GM11" s="525"/>
      <c r="GN11" s="525"/>
      <c r="GO11" s="525"/>
      <c r="GP11" s="525"/>
      <c r="GQ11" s="525"/>
      <c r="GR11" s="525"/>
      <c r="GS11" s="525"/>
      <c r="GT11" s="525"/>
      <c r="GU11" s="525"/>
      <c r="GV11" s="525"/>
      <c r="GW11" s="525"/>
      <c r="GX11" s="525"/>
      <c r="GY11" s="525"/>
      <c r="GZ11" s="525"/>
      <c r="HA11" s="525"/>
      <c r="HB11" s="525"/>
      <c r="HC11" s="525"/>
      <c r="HD11" s="525"/>
      <c r="HE11" s="525"/>
      <c r="HF11" s="525"/>
      <c r="HG11" s="525"/>
      <c r="HH11" s="525"/>
      <c r="HI11" s="525"/>
      <c r="HJ11" s="525"/>
      <c r="HK11" s="525"/>
      <c r="HL11" s="525"/>
      <c r="HM11" s="525"/>
      <c r="HN11" s="525"/>
      <c r="HO11" s="525"/>
      <c r="HP11" s="525"/>
      <c r="HQ11" s="525"/>
      <c r="HR11" s="525"/>
      <c r="HS11" s="525"/>
      <c r="HT11" s="525"/>
      <c r="HU11" s="525"/>
      <c r="HV11" s="525"/>
      <c r="HW11" s="525"/>
      <c r="HX11" s="525"/>
      <c r="HY11" s="525"/>
      <c r="HZ11" s="525"/>
      <c r="IA11" s="525"/>
      <c r="IB11" s="525"/>
      <c r="IC11" s="525"/>
      <c r="ID11" s="525"/>
      <c r="IE11" s="525"/>
      <c r="IF11" s="525"/>
      <c r="IG11" s="525"/>
      <c r="IH11" s="525"/>
      <c r="II11" s="525"/>
      <c r="IJ11" s="525"/>
      <c r="IK11" s="525"/>
      <c r="IL11" s="525"/>
      <c r="IM11" s="525"/>
      <c r="IN11" s="525"/>
      <c r="IO11" s="525"/>
      <c r="IP11" s="525"/>
      <c r="IQ11" s="525"/>
      <c r="IR11" s="525"/>
      <c r="IS11" s="525"/>
      <c r="IT11" s="525"/>
      <c r="IU11" s="525"/>
      <c r="IV11" s="525"/>
      <c r="IW11" s="525"/>
      <c r="IX11" s="525"/>
      <c r="IY11" s="525"/>
      <c r="IZ11" s="525"/>
      <c r="JA11" s="525"/>
      <c r="JB11" s="525"/>
      <c r="JC11" s="525"/>
      <c r="JD11" s="525"/>
      <c r="JE11" s="525"/>
      <c r="JF11" s="525"/>
      <c r="JG11" s="525"/>
      <c r="JH11" s="525"/>
      <c r="JI11" s="525"/>
      <c r="JJ11" s="525"/>
      <c r="JK11" s="525"/>
      <c r="JL11" s="525"/>
      <c r="JM11" s="525"/>
      <c r="JN11" s="525"/>
      <c r="JO11" s="525"/>
      <c r="JP11" s="525"/>
      <c r="JQ11" s="525"/>
      <c r="JR11" s="525"/>
      <c r="JS11" s="525"/>
      <c r="JT11" s="525"/>
      <c r="JU11" s="525"/>
      <c r="JV11" s="525"/>
      <c r="JW11" s="525"/>
      <c r="JX11" s="525"/>
      <c r="JY11" s="525"/>
      <c r="JZ11" s="525"/>
      <c r="KA11" s="525"/>
      <c r="KB11" s="525"/>
      <c r="KC11" s="525"/>
      <c r="KD11" s="525"/>
      <c r="KE11" s="525"/>
      <c r="KF11" s="525"/>
      <c r="KG11" s="525"/>
      <c r="KH11" s="525"/>
      <c r="KI11" s="525"/>
      <c r="KJ11" s="525"/>
      <c r="KK11" s="525"/>
      <c r="KL11" s="525"/>
      <c r="KM11" s="525"/>
      <c r="KN11" s="525"/>
      <c r="KO11" s="525"/>
      <c r="KP11" s="525"/>
      <c r="KQ11" s="525"/>
      <c r="KR11" s="525"/>
      <c r="KS11" s="525"/>
      <c r="KT11" s="525"/>
    </row>
    <row r="12" spans="1:306" x14ac:dyDescent="0.25">
      <c r="A12" s="525" t="s">
        <v>55</v>
      </c>
      <c r="B12" s="525">
        <v>2002</v>
      </c>
      <c r="C12" s="525">
        <v>2002.0625</v>
      </c>
      <c r="D12" s="525">
        <v>2002.125</v>
      </c>
      <c r="E12" s="525">
        <v>2002.1875</v>
      </c>
      <c r="F12" s="525">
        <v>2002.25</v>
      </c>
      <c r="G12" s="525">
        <v>2002.3125</v>
      </c>
      <c r="H12" s="525">
        <v>2002.375</v>
      </c>
      <c r="I12" s="525">
        <v>2002.4375</v>
      </c>
      <c r="J12" s="525">
        <v>2002.5</v>
      </c>
      <c r="K12" s="525">
        <v>2002.5625</v>
      </c>
      <c r="L12" s="525">
        <v>2002.625</v>
      </c>
      <c r="M12" s="525">
        <v>2002.6875</v>
      </c>
      <c r="N12" s="525">
        <v>2002.75</v>
      </c>
      <c r="O12" s="525">
        <v>2002.8125</v>
      </c>
      <c r="P12" s="525">
        <v>2002.875</v>
      </c>
      <c r="Q12" s="525">
        <v>2002.9375</v>
      </c>
      <c r="R12" s="525">
        <v>2003</v>
      </c>
      <c r="S12" s="525">
        <v>2003.0625</v>
      </c>
      <c r="T12" s="525">
        <v>2003.125</v>
      </c>
      <c r="U12" s="525">
        <v>2003.1875</v>
      </c>
      <c r="V12" s="525">
        <v>2003.25</v>
      </c>
      <c r="W12" s="525">
        <v>2003.3125</v>
      </c>
      <c r="X12" s="525">
        <v>2003.375</v>
      </c>
      <c r="Y12" s="525">
        <v>2003.4375</v>
      </c>
      <c r="Z12" s="525">
        <v>2003.5</v>
      </c>
      <c r="AA12" s="525">
        <v>2003.5625</v>
      </c>
      <c r="AB12" s="525">
        <v>2003.625</v>
      </c>
      <c r="AC12" s="525">
        <v>2003.6875</v>
      </c>
      <c r="AD12" s="525">
        <v>2003.75</v>
      </c>
      <c r="AE12" s="525">
        <v>2003.8125</v>
      </c>
      <c r="AF12" s="525">
        <v>2003.875</v>
      </c>
      <c r="AG12" s="525">
        <v>2003.9375</v>
      </c>
      <c r="AH12" s="525">
        <v>2004</v>
      </c>
      <c r="AI12" s="525">
        <v>2004.0625</v>
      </c>
      <c r="AJ12" s="525">
        <v>2004.125</v>
      </c>
      <c r="AK12" s="525">
        <v>2004.1875</v>
      </c>
      <c r="AL12" s="525">
        <v>2004.25</v>
      </c>
      <c r="AM12" s="525">
        <v>2004.3125</v>
      </c>
      <c r="AN12" s="525">
        <v>2004.375</v>
      </c>
      <c r="AO12" s="525">
        <v>2004.4375</v>
      </c>
      <c r="AP12" s="525">
        <v>2004.5</v>
      </c>
      <c r="AQ12" s="525">
        <v>2004.5625</v>
      </c>
      <c r="AR12" s="525">
        <v>2004.625</v>
      </c>
      <c r="AS12" s="525">
        <v>2004.6875</v>
      </c>
      <c r="AT12" s="525">
        <v>2004.75</v>
      </c>
      <c r="AU12" s="525">
        <v>2004.8125</v>
      </c>
      <c r="AV12" s="525">
        <v>2004.875</v>
      </c>
      <c r="AW12" s="525">
        <v>2004.9375</v>
      </c>
      <c r="AX12" s="525">
        <v>2005</v>
      </c>
      <c r="AY12" s="525">
        <v>2005.0625</v>
      </c>
      <c r="AZ12" s="525">
        <v>2005.125</v>
      </c>
      <c r="BA12" s="525">
        <v>2005.1875</v>
      </c>
      <c r="BB12" s="525">
        <v>2005.25</v>
      </c>
      <c r="BC12" s="525">
        <v>2005.3125</v>
      </c>
      <c r="BD12" s="525">
        <v>2005.375</v>
      </c>
      <c r="BE12" s="525">
        <v>2005.4375</v>
      </c>
      <c r="BF12" s="525">
        <v>2005.5</v>
      </c>
      <c r="BG12" s="525">
        <v>2005.5625</v>
      </c>
      <c r="BH12" s="525">
        <v>2005.625</v>
      </c>
      <c r="BI12" s="525">
        <v>2005.6875</v>
      </c>
      <c r="BJ12" s="525">
        <v>2005.75</v>
      </c>
      <c r="BK12" s="525">
        <v>2005.8125</v>
      </c>
      <c r="BL12" s="525">
        <v>2005.875</v>
      </c>
      <c r="BM12" s="525">
        <v>2005.9375</v>
      </c>
      <c r="BN12" s="525">
        <v>2006</v>
      </c>
      <c r="BO12" s="525">
        <v>2006.0625</v>
      </c>
      <c r="BP12" s="525">
        <v>2006.125</v>
      </c>
      <c r="BQ12" s="525">
        <v>2006.1875</v>
      </c>
      <c r="BR12" s="525">
        <v>2006.25</v>
      </c>
      <c r="BS12" s="525">
        <v>2006.3125</v>
      </c>
      <c r="BT12" s="525">
        <v>2006.375</v>
      </c>
      <c r="BU12" s="525">
        <v>2006.4375</v>
      </c>
      <c r="BV12" s="525">
        <v>2006.5</v>
      </c>
      <c r="BW12" s="525">
        <v>2006.5625</v>
      </c>
      <c r="BX12" s="525">
        <v>2006.625</v>
      </c>
      <c r="BY12" s="525">
        <v>2006.6875</v>
      </c>
      <c r="BZ12" s="525">
        <v>2006.75</v>
      </c>
      <c r="CA12" s="525">
        <v>2006.8125</v>
      </c>
      <c r="CB12" s="525">
        <v>2006.875</v>
      </c>
      <c r="CC12" s="525">
        <v>2006.9375</v>
      </c>
      <c r="CD12" s="525">
        <v>2007</v>
      </c>
      <c r="CE12" s="525">
        <v>2007.0625</v>
      </c>
      <c r="CF12" s="525">
        <v>2007.125</v>
      </c>
      <c r="CG12" s="525">
        <v>2007.1875</v>
      </c>
      <c r="CH12" s="525">
        <v>2007.25</v>
      </c>
      <c r="CI12" s="525">
        <v>2007.3125</v>
      </c>
      <c r="CJ12" s="525">
        <v>2007.375</v>
      </c>
      <c r="CK12" s="525">
        <v>2007.4375</v>
      </c>
      <c r="CL12" s="525">
        <v>2007.5</v>
      </c>
      <c r="CM12" s="525">
        <v>2007.5625</v>
      </c>
      <c r="CN12" s="525">
        <v>2007.625</v>
      </c>
      <c r="CO12" s="525">
        <v>2007.6875</v>
      </c>
      <c r="CP12" s="525">
        <v>2007.75</v>
      </c>
      <c r="CQ12" s="525">
        <v>2007.8125</v>
      </c>
      <c r="CR12" s="525">
        <v>2007.875</v>
      </c>
      <c r="CS12" s="525">
        <v>2007.9375</v>
      </c>
      <c r="CT12" s="525">
        <v>2008</v>
      </c>
      <c r="CU12" s="525">
        <v>2008.0625</v>
      </c>
      <c r="CV12" s="525">
        <v>2008.125</v>
      </c>
      <c r="CW12" s="525">
        <v>2008.1875</v>
      </c>
      <c r="CX12" s="525">
        <v>2008.25</v>
      </c>
      <c r="CY12" s="525">
        <v>2008.3125</v>
      </c>
      <c r="CZ12" s="525">
        <v>2008.375</v>
      </c>
      <c r="DA12" s="525">
        <v>2008.4375</v>
      </c>
      <c r="DB12" s="525">
        <v>2008.5</v>
      </c>
      <c r="DC12" s="525">
        <v>2008.5625</v>
      </c>
      <c r="DD12" s="525">
        <v>2008.625</v>
      </c>
      <c r="DE12" s="525">
        <v>2008.6875</v>
      </c>
      <c r="DF12" s="525">
        <v>2008.75</v>
      </c>
      <c r="DG12" s="525">
        <v>2008.8125</v>
      </c>
      <c r="DH12" s="525">
        <v>2008.875</v>
      </c>
      <c r="DI12" s="525">
        <v>2008.9375</v>
      </c>
      <c r="DJ12" s="525">
        <v>2009</v>
      </c>
      <c r="DK12" s="525">
        <v>2009.0625</v>
      </c>
      <c r="DL12" s="525">
        <v>2009.125</v>
      </c>
      <c r="DM12" s="525">
        <v>2009.1875</v>
      </c>
      <c r="DN12" s="525">
        <v>2009.25</v>
      </c>
      <c r="DO12" s="525">
        <v>2009.3125</v>
      </c>
      <c r="DP12" s="525">
        <v>2009.375</v>
      </c>
      <c r="DQ12" s="525">
        <v>2009.4375</v>
      </c>
      <c r="DR12" s="525">
        <v>2009.5</v>
      </c>
      <c r="DS12" s="525">
        <v>2009.5625</v>
      </c>
      <c r="DT12" s="525">
        <v>2009.625</v>
      </c>
      <c r="DU12" s="525">
        <v>2009.6875</v>
      </c>
      <c r="DV12" s="525">
        <v>2009.75</v>
      </c>
      <c r="DW12" s="525">
        <v>2009.8125</v>
      </c>
      <c r="DX12" s="525">
        <v>2009.875</v>
      </c>
      <c r="DY12" s="525">
        <v>2009.9375</v>
      </c>
      <c r="DZ12" s="525">
        <v>2010</v>
      </c>
      <c r="EA12" s="525">
        <v>2010.0625</v>
      </c>
      <c r="EB12" s="525">
        <v>2010.125</v>
      </c>
      <c r="EC12" s="525">
        <v>2010.1875</v>
      </c>
      <c r="ED12" s="525">
        <v>2010.25</v>
      </c>
      <c r="EE12" s="525">
        <v>2010.3125</v>
      </c>
      <c r="EF12" s="525">
        <v>2010.375</v>
      </c>
      <c r="EG12" s="525">
        <v>2010.4375</v>
      </c>
      <c r="EH12" s="525">
        <v>2010.5</v>
      </c>
      <c r="EI12" s="525">
        <v>2010.5625</v>
      </c>
      <c r="EJ12" s="525">
        <v>2010.625</v>
      </c>
      <c r="EK12" s="525">
        <v>2010.6875</v>
      </c>
      <c r="EL12" s="525">
        <v>2010.75</v>
      </c>
      <c r="EM12" s="525">
        <v>2010.8125</v>
      </c>
      <c r="EN12" s="525">
        <v>2010.875</v>
      </c>
      <c r="EO12" s="525">
        <v>2010.9375</v>
      </c>
      <c r="EP12" s="525">
        <v>2011</v>
      </c>
      <c r="EQ12" s="525">
        <v>2011.0625</v>
      </c>
      <c r="ER12" s="525">
        <v>2011.125</v>
      </c>
      <c r="ES12" s="525">
        <v>2011.1875</v>
      </c>
      <c r="ET12" s="525">
        <v>2011.25</v>
      </c>
      <c r="EU12" s="525">
        <v>2011.3125</v>
      </c>
      <c r="EV12" s="525">
        <v>2011.375</v>
      </c>
      <c r="EW12" s="525">
        <v>2011.4375</v>
      </c>
      <c r="EX12" s="525">
        <v>2011.5</v>
      </c>
      <c r="EY12" s="525">
        <v>2011.5625</v>
      </c>
      <c r="EZ12" s="525">
        <v>2011.625</v>
      </c>
      <c r="FA12" s="525">
        <v>2011.6875</v>
      </c>
      <c r="FB12" s="525">
        <v>2011.75</v>
      </c>
      <c r="FC12" s="525">
        <v>2011.8125</v>
      </c>
      <c r="FD12" s="525">
        <v>2011.875</v>
      </c>
      <c r="FE12" s="525">
        <v>2011.9375</v>
      </c>
      <c r="FF12" s="525">
        <v>2012</v>
      </c>
      <c r="FG12" s="525">
        <v>2012.0625</v>
      </c>
      <c r="FH12" s="525">
        <v>2012.125</v>
      </c>
      <c r="FI12" s="525">
        <v>2012.1875</v>
      </c>
      <c r="FJ12" s="525">
        <v>2012.25</v>
      </c>
      <c r="FK12" s="525">
        <v>2012.3125</v>
      </c>
      <c r="FL12" s="525">
        <v>2012.375</v>
      </c>
      <c r="FM12" s="525">
        <v>2012.4375</v>
      </c>
      <c r="FN12" s="525">
        <v>2012.5</v>
      </c>
      <c r="FO12" s="525">
        <v>2012.5625</v>
      </c>
      <c r="FP12" s="525">
        <v>2012.625</v>
      </c>
      <c r="FQ12" s="525">
        <v>2012.6875</v>
      </c>
      <c r="FR12" s="525">
        <v>2012.75</v>
      </c>
      <c r="FS12" s="525">
        <v>2012.8125</v>
      </c>
      <c r="FT12" s="525">
        <v>2012.875</v>
      </c>
      <c r="FU12" s="525">
        <v>2012.9375</v>
      </c>
      <c r="FV12" s="525">
        <v>2013</v>
      </c>
      <c r="FW12" s="525">
        <v>2013.0625</v>
      </c>
      <c r="FX12" s="525">
        <v>2013.125</v>
      </c>
      <c r="FY12" s="525">
        <v>2013.1875</v>
      </c>
      <c r="FZ12" s="525">
        <v>2013.25</v>
      </c>
      <c r="GA12" s="525">
        <v>2013.3125</v>
      </c>
      <c r="GB12" s="525">
        <v>2013.375</v>
      </c>
      <c r="GC12" s="525">
        <v>2013.4375</v>
      </c>
      <c r="GD12" s="525">
        <v>2013.5</v>
      </c>
      <c r="GE12" s="525">
        <v>2013.5625</v>
      </c>
      <c r="GF12" s="525">
        <v>2013.625</v>
      </c>
      <c r="GG12" s="525">
        <v>2013.6875</v>
      </c>
      <c r="GH12" s="525">
        <v>2013.75</v>
      </c>
      <c r="GI12" s="525">
        <v>2013.8125</v>
      </c>
      <c r="GJ12" s="525">
        <v>2013.875</v>
      </c>
      <c r="GK12" s="525">
        <v>2013.9375</v>
      </c>
      <c r="GL12" s="525">
        <v>2014</v>
      </c>
      <c r="GM12" s="525">
        <v>2014.0625</v>
      </c>
      <c r="GN12" s="525">
        <v>2014.125</v>
      </c>
      <c r="GO12" s="525">
        <v>2014.1875</v>
      </c>
      <c r="GP12" s="525">
        <v>2014.25</v>
      </c>
      <c r="GQ12" s="525">
        <v>2014.3125</v>
      </c>
      <c r="GR12" s="525">
        <v>2014.375</v>
      </c>
      <c r="GS12" s="525">
        <v>2014.4375</v>
      </c>
      <c r="GT12" s="525">
        <v>2014.5</v>
      </c>
      <c r="GU12" s="525">
        <v>2014.5625</v>
      </c>
      <c r="GV12" s="525">
        <v>2014.625</v>
      </c>
      <c r="GW12" s="525">
        <v>2014.6875</v>
      </c>
      <c r="GX12" s="525">
        <v>2014.75</v>
      </c>
      <c r="GY12" s="525">
        <v>2014.8125</v>
      </c>
      <c r="GZ12" s="525">
        <v>2014.875</v>
      </c>
      <c r="HA12" s="525">
        <v>2014.9375</v>
      </c>
      <c r="HB12" s="525">
        <v>2015</v>
      </c>
      <c r="HC12" s="525">
        <v>2015.0625</v>
      </c>
      <c r="HD12" s="525">
        <v>2015.125</v>
      </c>
      <c r="HE12" s="525">
        <v>2015.1875</v>
      </c>
      <c r="HF12" s="525">
        <v>2015.25</v>
      </c>
      <c r="HG12" s="525">
        <v>2015.3125</v>
      </c>
      <c r="HH12" s="525">
        <v>2015.375</v>
      </c>
      <c r="HI12" s="525">
        <v>2015.4375</v>
      </c>
      <c r="HJ12" s="525">
        <v>2015.5</v>
      </c>
      <c r="HK12" s="525">
        <v>2015.5625</v>
      </c>
      <c r="HL12" s="525">
        <v>2015.625</v>
      </c>
      <c r="HM12" s="525">
        <v>2015.6875</v>
      </c>
      <c r="HN12" s="525">
        <v>2015.75</v>
      </c>
      <c r="HO12" s="525">
        <v>2015.8125</v>
      </c>
      <c r="HP12" s="525">
        <v>2015.875</v>
      </c>
      <c r="HQ12" s="525">
        <v>2015.9375</v>
      </c>
      <c r="HR12" s="525">
        <v>2016</v>
      </c>
      <c r="HS12" s="525">
        <v>2016.0625</v>
      </c>
      <c r="HT12" s="525">
        <v>2016.125</v>
      </c>
      <c r="HU12" s="525">
        <v>2016.1875</v>
      </c>
      <c r="HV12" s="525">
        <v>2016.25</v>
      </c>
      <c r="HW12" s="525">
        <v>2016.3125</v>
      </c>
      <c r="HX12" s="525">
        <v>2016.375</v>
      </c>
      <c r="HY12" s="525">
        <v>2016.4375</v>
      </c>
      <c r="HZ12" s="525">
        <v>2016.5</v>
      </c>
      <c r="IA12" s="525">
        <v>2016.5625</v>
      </c>
      <c r="IB12" s="525">
        <v>2016.625</v>
      </c>
      <c r="IC12" s="525">
        <v>2016.6875</v>
      </c>
      <c r="ID12" s="525">
        <v>2016.75</v>
      </c>
      <c r="IE12" s="525">
        <v>2016.8125</v>
      </c>
      <c r="IF12" s="525">
        <v>2016.875</v>
      </c>
      <c r="IG12" s="525">
        <v>2016.9375</v>
      </c>
      <c r="IH12" s="525">
        <v>2017</v>
      </c>
      <c r="II12" s="525">
        <v>2017.0625</v>
      </c>
      <c r="IJ12" s="525">
        <v>2017.125</v>
      </c>
      <c r="IK12" s="525">
        <v>2017.1875</v>
      </c>
      <c r="IL12" s="525">
        <v>2017.25</v>
      </c>
      <c r="IM12" s="525">
        <v>2017.3125</v>
      </c>
      <c r="IN12" s="525">
        <v>2017.375</v>
      </c>
      <c r="IO12" s="525">
        <v>2017.4375</v>
      </c>
      <c r="IP12" s="525">
        <v>2017.5</v>
      </c>
      <c r="IQ12" s="525">
        <v>2017.5625</v>
      </c>
      <c r="IR12" s="525">
        <v>2017.625</v>
      </c>
      <c r="IS12" s="525">
        <v>2017.6875</v>
      </c>
      <c r="IT12" s="525">
        <v>2017.75</v>
      </c>
      <c r="IU12" s="525">
        <v>2017.8125</v>
      </c>
      <c r="IV12" s="525">
        <v>2017.875</v>
      </c>
      <c r="IW12" s="525">
        <v>2017.9375</v>
      </c>
      <c r="IX12" s="525">
        <v>2018</v>
      </c>
      <c r="IY12" s="525">
        <v>2018.0625</v>
      </c>
      <c r="IZ12" s="525">
        <v>2018.125</v>
      </c>
      <c r="JA12" s="525">
        <v>2018.1875</v>
      </c>
      <c r="JB12" s="525">
        <v>2018.25</v>
      </c>
      <c r="JC12" s="525">
        <v>2018.3125</v>
      </c>
      <c r="JD12" s="525">
        <v>2018.375</v>
      </c>
      <c r="JE12" s="525">
        <v>2018.4375</v>
      </c>
      <c r="JF12" s="525">
        <v>2018.5</v>
      </c>
      <c r="JG12" s="525">
        <v>2018.5625</v>
      </c>
      <c r="JH12" s="525">
        <v>2018.625</v>
      </c>
      <c r="JI12" s="525">
        <v>2018.6875</v>
      </c>
      <c r="JJ12" s="525">
        <v>2018.75</v>
      </c>
      <c r="JK12" s="525">
        <v>2018.8125</v>
      </c>
      <c r="JL12" s="525">
        <v>2018.875</v>
      </c>
      <c r="JM12" s="525">
        <v>2018.9375</v>
      </c>
      <c r="JN12" s="525">
        <v>2019</v>
      </c>
      <c r="JO12" s="525">
        <v>2019.0625</v>
      </c>
      <c r="JP12" s="525">
        <v>2019.125</v>
      </c>
      <c r="JQ12" s="525">
        <v>2019.1875</v>
      </c>
      <c r="JR12" s="525">
        <v>2019.25</v>
      </c>
      <c r="JS12" s="525">
        <v>2019.3125</v>
      </c>
      <c r="JT12" s="525">
        <v>2019.375</v>
      </c>
      <c r="JU12" s="525">
        <v>2019.4375</v>
      </c>
      <c r="JV12" s="525">
        <v>2019.5</v>
      </c>
      <c r="JW12" s="525">
        <v>2019.5625</v>
      </c>
      <c r="JX12" s="525">
        <v>2019.625</v>
      </c>
      <c r="JY12" s="525">
        <v>2019.6875</v>
      </c>
      <c r="JZ12" s="525">
        <v>2019.75</v>
      </c>
      <c r="KA12" s="525">
        <v>2019.8125</v>
      </c>
      <c r="KB12" s="525">
        <v>2019.875</v>
      </c>
      <c r="KC12" s="525">
        <v>2019.9375</v>
      </c>
      <c r="KD12" s="525">
        <v>2020</v>
      </c>
      <c r="KE12" s="525">
        <v>2020.0625</v>
      </c>
      <c r="KF12" s="525">
        <v>2020.125</v>
      </c>
      <c r="KG12" s="525">
        <v>2020.1875</v>
      </c>
      <c r="KH12" s="525">
        <v>2020.25</v>
      </c>
      <c r="KI12" s="525">
        <v>2020.3125</v>
      </c>
      <c r="KJ12" s="525">
        <v>2020.375</v>
      </c>
      <c r="KK12" s="525">
        <v>2020.4375</v>
      </c>
      <c r="KL12" s="525">
        <v>2020.5</v>
      </c>
      <c r="KM12" s="525">
        <v>2020.5625</v>
      </c>
      <c r="KN12" s="525">
        <v>2020.625</v>
      </c>
      <c r="KO12" s="525">
        <v>2020.6875</v>
      </c>
      <c r="KP12" s="525">
        <v>2020.75</v>
      </c>
      <c r="KQ12" s="525">
        <v>2020.8125</v>
      </c>
      <c r="KR12" s="525">
        <v>2020.875</v>
      </c>
      <c r="KS12" s="23">
        <v>2020.9375</v>
      </c>
      <c r="KT12" s="525">
        <v>2021</v>
      </c>
    </row>
    <row r="13" spans="1:306" x14ac:dyDescent="0.25">
      <c r="A13" s="506" t="str">
        <f>A4</f>
        <v>Tx monthly patients Bup IQVIA TPT</v>
      </c>
      <c r="B13" s="506"/>
      <c r="C13" s="506"/>
      <c r="D13" s="506"/>
      <c r="E13" s="506"/>
      <c r="F13" s="506"/>
      <c r="G13" s="506"/>
      <c r="H13" s="506"/>
      <c r="I13" s="506"/>
      <c r="J13" s="506"/>
      <c r="K13" s="506"/>
      <c r="L13" s="506"/>
      <c r="M13" s="506"/>
      <c r="N13" s="506"/>
      <c r="O13" s="506"/>
      <c r="P13" s="505">
        <f>_xlfn.FORECAST.LINEAR(P12,P8:P9,P6:P7)</f>
        <v>0</v>
      </c>
      <c r="Q13" s="505">
        <f>_xlfn.FORECAST.LINEAR(Q12,Q8:Q9,Q6:Q7)</f>
        <v>14.483923314139247</v>
      </c>
      <c r="R13" s="505">
        <f>_xlfn.FORECAST.LINEAR(R12,R8:R9,R6:R7)</f>
        <v>57.942217880859971</v>
      </c>
      <c r="S13" s="505">
        <f t="shared" ref="S13:CD13" si="20">_xlfn.FORECAST.LINEAR(S12,S8:S9,S6:S7)</f>
        <v>322.80492108128965</v>
      </c>
      <c r="T13" s="505">
        <f t="shared" si="20"/>
        <v>697.28921773098409</v>
      </c>
      <c r="U13" s="505">
        <f t="shared" si="20"/>
        <v>1144.5230549369007</v>
      </c>
      <c r="V13" s="505">
        <f t="shared" si="20"/>
        <v>1627.6600549295545</v>
      </c>
      <c r="W13" s="505">
        <f t="shared" si="20"/>
        <v>2155.0482847951353</v>
      </c>
      <c r="X13" s="505">
        <f t="shared" si="20"/>
        <v>2683.3436695672572</v>
      </c>
      <c r="Y13" s="505">
        <f t="shared" si="20"/>
        <v>3187.450267277658</v>
      </c>
      <c r="Z13" s="505">
        <f t="shared" si="20"/>
        <v>3642.3037657402456</v>
      </c>
      <c r="AA13" s="505">
        <f t="shared" si="20"/>
        <v>4213.5931402668357</v>
      </c>
      <c r="AB13" s="505">
        <f t="shared" si="20"/>
        <v>4980.2269337959588</v>
      </c>
      <c r="AC13" s="505">
        <f t="shared" si="20"/>
        <v>5899.3393049091101</v>
      </c>
      <c r="AD13" s="505">
        <f t="shared" si="20"/>
        <v>6928.0249668844044</v>
      </c>
      <c r="AE13" s="505">
        <f t="shared" si="20"/>
        <v>7279.3862294331193</v>
      </c>
      <c r="AF13" s="505">
        <f t="shared" si="20"/>
        <v>7962.873518332839</v>
      </c>
      <c r="AG13" s="505">
        <f t="shared" si="20"/>
        <v>8817.3169696293771</v>
      </c>
      <c r="AH13" s="505">
        <f t="shared" si="20"/>
        <v>9681.6693328544497</v>
      </c>
      <c r="AI13" s="505">
        <f t="shared" si="20"/>
        <v>10177.151598842815</v>
      </c>
      <c r="AJ13" s="505">
        <f t="shared" si="20"/>
        <v>11340.747391939163</v>
      </c>
      <c r="AK13" s="505">
        <f t="shared" si="20"/>
        <v>12700.480574771762</v>
      </c>
      <c r="AL13" s="505">
        <f t="shared" si="20"/>
        <v>13784.852710681036</v>
      </c>
      <c r="AM13" s="505">
        <f t="shared" si="20"/>
        <v>14210.368223195896</v>
      </c>
      <c r="AN13" s="505">
        <f t="shared" si="20"/>
        <v>15321.106532379985</v>
      </c>
      <c r="AO13" s="505">
        <f t="shared" si="20"/>
        <v>16468.711444500834</v>
      </c>
      <c r="AP13" s="505">
        <f t="shared" si="20"/>
        <v>17005.80630864203</v>
      </c>
      <c r="AQ13" s="505">
        <f t="shared" si="20"/>
        <v>18130.914205208421</v>
      </c>
      <c r="AR13" s="505">
        <f t="shared" si="20"/>
        <v>19178.820437330753</v>
      </c>
      <c r="AS13" s="505">
        <f t="shared" si="20"/>
        <v>20170.410910073668</v>
      </c>
      <c r="AT13" s="505">
        <f t="shared" si="20"/>
        <v>21126.529492542148</v>
      </c>
      <c r="AU13" s="505">
        <f t="shared" si="20"/>
        <v>22015.316587559879</v>
      </c>
      <c r="AV13" s="505">
        <f t="shared" si="20"/>
        <v>23099.744318760931</v>
      </c>
      <c r="AW13" s="505">
        <f t="shared" si="20"/>
        <v>23475.036536060274</v>
      </c>
      <c r="AX13" s="505">
        <f t="shared" si="20"/>
        <v>22238.262522315606</v>
      </c>
      <c r="AY13" s="505">
        <f t="shared" si="20"/>
        <v>22725.327124705538</v>
      </c>
      <c r="AZ13" s="505">
        <f t="shared" si="20"/>
        <v>24348.145728603005</v>
      </c>
      <c r="BA13" s="505">
        <f t="shared" si="20"/>
        <v>26030.094721406698</v>
      </c>
      <c r="BB13" s="505">
        <f t="shared" si="20"/>
        <v>26696.631816223264</v>
      </c>
      <c r="BC13" s="505">
        <f t="shared" si="20"/>
        <v>28067.847350075841</v>
      </c>
      <c r="BD13" s="505">
        <f t="shared" si="20"/>
        <v>29394.417611218989</v>
      </c>
      <c r="BE13" s="505">
        <f t="shared" si="20"/>
        <v>30478.834000032395</v>
      </c>
      <c r="BF13" s="505">
        <f t="shared" si="20"/>
        <v>31124.0739056319</v>
      </c>
      <c r="BG13" s="505">
        <f t="shared" si="20"/>
        <v>32199.789306610823</v>
      </c>
      <c r="BH13" s="505">
        <f t="shared" si="20"/>
        <v>33125.607991810888</v>
      </c>
      <c r="BI13" s="505">
        <f t="shared" si="20"/>
        <v>34280.974765732884</v>
      </c>
      <c r="BJ13" s="505">
        <f t="shared" si="20"/>
        <v>36044.346910841763</v>
      </c>
      <c r="BK13" s="505">
        <f t="shared" si="20"/>
        <v>37014.572334073484</v>
      </c>
      <c r="BL13" s="505">
        <f t="shared" si="20"/>
        <v>39058.492988362908</v>
      </c>
      <c r="BM13" s="505">
        <f t="shared" si="20"/>
        <v>41035.204321905971</v>
      </c>
      <c r="BN13" s="505">
        <f t="shared" si="20"/>
        <v>41806.190284542739</v>
      </c>
      <c r="BO13" s="505">
        <f t="shared" si="20"/>
        <v>41964.775400108658</v>
      </c>
      <c r="BP13" s="505">
        <f t="shared" si="20"/>
        <v>44415.263081759214</v>
      </c>
      <c r="BQ13" s="505">
        <f t="shared" si="20"/>
        <v>46737.511252304539</v>
      </c>
      <c r="BR13" s="505">
        <f t="shared" si="20"/>
        <v>46517.992929726839</v>
      </c>
      <c r="BS13" s="505">
        <f t="shared" si="20"/>
        <v>49490.587124019861</v>
      </c>
      <c r="BT13" s="505">
        <f t="shared" si="20"/>
        <v>51448.536065027118</v>
      </c>
      <c r="BU13" s="505">
        <f t="shared" si="20"/>
        <v>52703.24561189115</v>
      </c>
      <c r="BV13" s="505">
        <f t="shared" si="20"/>
        <v>53565.952715441585</v>
      </c>
      <c r="BW13" s="505">
        <f t="shared" si="20"/>
        <v>56501.825629755855</v>
      </c>
      <c r="BX13" s="505">
        <f t="shared" si="20"/>
        <v>57930.462167475373</v>
      </c>
      <c r="BY13" s="505">
        <f t="shared" si="20"/>
        <v>59279.984542891383</v>
      </c>
      <c r="BZ13" s="505">
        <f t="shared" si="20"/>
        <v>61974.318096317351</v>
      </c>
      <c r="CA13" s="505">
        <f t="shared" si="20"/>
        <v>63355.157773323357</v>
      </c>
      <c r="CB13" s="505">
        <f t="shared" si="20"/>
        <v>64462.073953714222</v>
      </c>
      <c r="CC13" s="505">
        <f t="shared" si="20"/>
        <v>66819.243907034397</v>
      </c>
      <c r="CD13" s="505">
        <f t="shared" si="20"/>
        <v>71944.782850846648</v>
      </c>
      <c r="CE13" s="505">
        <f t="shared" ref="CE13:EP13" si="21">_xlfn.FORECAST.LINEAR(CE12,CE8:CE9,CE6:CE7)</f>
        <v>71582.77468569763</v>
      </c>
      <c r="CF13" s="505">
        <f t="shared" si="21"/>
        <v>75866.318958520889</v>
      </c>
      <c r="CG13" s="505">
        <f t="shared" si="21"/>
        <v>81165.51741668582</v>
      </c>
      <c r="CH13" s="505">
        <f t="shared" si="21"/>
        <v>83861.670892566442</v>
      </c>
      <c r="CI13" s="505">
        <f t="shared" si="21"/>
        <v>88120.627163469791</v>
      </c>
      <c r="CJ13" s="505">
        <f t="shared" si="21"/>
        <v>90421.285677798092</v>
      </c>
      <c r="CK13" s="505">
        <f t="shared" si="21"/>
        <v>93091.149491757154</v>
      </c>
      <c r="CL13" s="505">
        <f t="shared" si="21"/>
        <v>98449.720298647881</v>
      </c>
      <c r="CM13" s="505">
        <f t="shared" si="21"/>
        <v>101544.46494369209</v>
      </c>
      <c r="CN13" s="505">
        <f t="shared" si="21"/>
        <v>102479.11478500441</v>
      </c>
      <c r="CO13" s="505">
        <f t="shared" si="21"/>
        <v>104878.55543926358</v>
      </c>
      <c r="CP13" s="505">
        <f t="shared" si="21"/>
        <v>112353.75946123898</v>
      </c>
      <c r="CQ13" s="505">
        <f t="shared" si="21"/>
        <v>113989.19694244862</v>
      </c>
      <c r="CR13" s="505">
        <f t="shared" si="21"/>
        <v>116194.36462289095</v>
      </c>
      <c r="CS13" s="505">
        <f t="shared" si="21"/>
        <v>120563.09535762668</v>
      </c>
      <c r="CT13" s="505">
        <f t="shared" si="21"/>
        <v>128680.97833155841</v>
      </c>
      <c r="CU13" s="505">
        <f t="shared" si="21"/>
        <v>129501.36375606805</v>
      </c>
      <c r="CV13" s="505">
        <f t="shared" si="21"/>
        <v>133346.06702554226</v>
      </c>
      <c r="CW13" s="505">
        <f t="shared" si="21"/>
        <v>138196.38645516336</v>
      </c>
      <c r="CX13" s="505">
        <f t="shared" si="21"/>
        <v>142040.87577930093</v>
      </c>
      <c r="CY13" s="505">
        <f t="shared" si="21"/>
        <v>146315.66392457485</v>
      </c>
      <c r="CZ13" s="505">
        <f t="shared" si="21"/>
        <v>148060.1520281639</v>
      </c>
      <c r="DA13" s="505">
        <f t="shared" si="21"/>
        <v>151159.40205734968</v>
      </c>
      <c r="DB13" s="505">
        <f t="shared" si="21"/>
        <v>159481.75663243234</v>
      </c>
      <c r="DC13" s="505">
        <f t="shared" si="21"/>
        <v>161931.27166999876</v>
      </c>
      <c r="DD13" s="505">
        <f t="shared" si="21"/>
        <v>165235.65600271523</v>
      </c>
      <c r="DE13" s="505">
        <f t="shared" si="21"/>
        <v>170038.59626433253</v>
      </c>
      <c r="DF13" s="505">
        <f t="shared" si="21"/>
        <v>176977.76141952723</v>
      </c>
      <c r="DG13" s="505">
        <f t="shared" si="21"/>
        <v>175757.2041003257</v>
      </c>
      <c r="DH13" s="505">
        <f t="shared" si="21"/>
        <v>179719.45894485712</v>
      </c>
      <c r="DI13" s="505">
        <f t="shared" si="21"/>
        <v>185368.68089719117</v>
      </c>
      <c r="DJ13" s="505">
        <f t="shared" si="21"/>
        <v>189220.9417934306</v>
      </c>
      <c r="DK13" s="505">
        <f t="shared" si="21"/>
        <v>188935.71787597612</v>
      </c>
      <c r="DL13" s="505">
        <f t="shared" si="21"/>
        <v>195279.21778005362</v>
      </c>
      <c r="DM13" s="505">
        <f t="shared" si="21"/>
        <v>202185.72870199382</v>
      </c>
      <c r="DN13" s="505">
        <f t="shared" si="21"/>
        <v>203615.24875096977</v>
      </c>
      <c r="DO13" s="505">
        <f t="shared" si="21"/>
        <v>206947.74057282507</v>
      </c>
      <c r="DP13" s="505">
        <f t="shared" si="21"/>
        <v>210967.7054553926</v>
      </c>
      <c r="DQ13" s="505">
        <f t="shared" si="21"/>
        <v>215422.04531949759</v>
      </c>
      <c r="DR13" s="505">
        <f t="shared" si="21"/>
        <v>220056.5840948429</v>
      </c>
      <c r="DS13" s="505">
        <f t="shared" si="21"/>
        <v>220236.67620553169</v>
      </c>
      <c r="DT13" s="505">
        <f t="shared" si="21"/>
        <v>222191.04728122056</v>
      </c>
      <c r="DU13" s="505">
        <f t="shared" si="21"/>
        <v>224572.92014122754</v>
      </c>
      <c r="DV13" s="505">
        <f t="shared" si="21"/>
        <v>226040.03624114394</v>
      </c>
      <c r="DW13" s="505">
        <f t="shared" si="21"/>
        <v>224742.77921857685</v>
      </c>
      <c r="DX13" s="505">
        <f t="shared" si="21"/>
        <v>229854.96530309319</v>
      </c>
      <c r="DY13" s="505">
        <f t="shared" si="21"/>
        <v>234994.73881797493</v>
      </c>
      <c r="DZ13" s="505">
        <f t="shared" si="21"/>
        <v>233810.01032258198</v>
      </c>
      <c r="EA13" s="505">
        <f t="shared" si="21"/>
        <v>234352.02950109914</v>
      </c>
      <c r="EB13" s="505">
        <f t="shared" si="21"/>
        <v>244548.12157702446</v>
      </c>
      <c r="EC13" s="505">
        <f t="shared" si="21"/>
        <v>253989.32661885023</v>
      </c>
      <c r="ED13" s="505">
        <f t="shared" si="21"/>
        <v>252317.28228851408</v>
      </c>
      <c r="EE13" s="505">
        <f t="shared" si="21"/>
        <v>254387.22734609246</v>
      </c>
      <c r="EF13" s="505">
        <f t="shared" si="21"/>
        <v>258277.25003612041</v>
      </c>
      <c r="EG13" s="505">
        <f t="shared" si="21"/>
        <v>261607.61230447143</v>
      </c>
      <c r="EH13" s="505">
        <f t="shared" si="21"/>
        <v>262011.99569384754</v>
      </c>
      <c r="EI13" s="505">
        <f t="shared" si="21"/>
        <v>266002.40351364017</v>
      </c>
      <c r="EJ13" s="505">
        <f t="shared" si="21"/>
        <v>268265.00163098425</v>
      </c>
      <c r="EK13" s="505">
        <f t="shared" si="21"/>
        <v>269192.82663239026</v>
      </c>
      <c r="EL13" s="505">
        <f t="shared" si="21"/>
        <v>269179.84324893355</v>
      </c>
      <c r="EM13" s="505">
        <f t="shared" si="21"/>
        <v>274232.71744710207</v>
      </c>
      <c r="EN13" s="505">
        <f t="shared" si="21"/>
        <v>277864.94795739651</v>
      </c>
      <c r="EO13" s="505">
        <f t="shared" si="21"/>
        <v>281038.33062124252</v>
      </c>
      <c r="EP13" s="505">
        <f t="shared" si="21"/>
        <v>284707.77588270046</v>
      </c>
      <c r="EQ13" s="505">
        <f t="shared" ref="EQ13:HB13" si="22">_xlfn.FORECAST.LINEAR(EQ12,EQ8:EQ9,EQ6:EQ7)</f>
        <v>284916.99971720204</v>
      </c>
      <c r="ER13" s="505">
        <f t="shared" si="22"/>
        <v>294877.35451090336</v>
      </c>
      <c r="ES13" s="505">
        <f t="shared" si="22"/>
        <v>303469.09958185256</v>
      </c>
      <c r="ET13" s="505">
        <f t="shared" si="22"/>
        <v>299636.92987748981</v>
      </c>
      <c r="EU13" s="505">
        <f t="shared" si="22"/>
        <v>306110.7176220119</v>
      </c>
      <c r="EV13" s="505">
        <f t="shared" si="22"/>
        <v>311501.35411566496</v>
      </c>
      <c r="EW13" s="505">
        <f t="shared" si="22"/>
        <v>313807.33903801441</v>
      </c>
      <c r="EX13" s="505">
        <f t="shared" si="22"/>
        <v>311045.13283723593</v>
      </c>
      <c r="EY13" s="505">
        <f t="shared" si="22"/>
        <v>319942.03088355064</v>
      </c>
      <c r="EZ13" s="505">
        <f t="shared" si="22"/>
        <v>322109.08743128926</v>
      </c>
      <c r="FA13" s="505">
        <f t="shared" si="22"/>
        <v>321081.49932299554</v>
      </c>
      <c r="FB13" s="505">
        <f t="shared" si="22"/>
        <v>320377.51513893902</v>
      </c>
      <c r="FC13" s="505">
        <f t="shared" si="22"/>
        <v>323683.52804762125</v>
      </c>
      <c r="FD13" s="505">
        <f t="shared" si="22"/>
        <v>322988.22710947692</v>
      </c>
      <c r="FE13" s="505">
        <f t="shared" si="22"/>
        <v>321016.18379157782</v>
      </c>
      <c r="FF13" s="505">
        <f t="shared" si="22"/>
        <v>320478.5109731108</v>
      </c>
      <c r="FG13" s="505">
        <f t="shared" si="22"/>
        <v>322997.1875641495</v>
      </c>
      <c r="FH13" s="505">
        <f t="shared" si="22"/>
        <v>329764.84837663174</v>
      </c>
      <c r="FI13" s="505">
        <f t="shared" si="22"/>
        <v>334160.80491182208</v>
      </c>
      <c r="FJ13" s="505">
        <f t="shared" si="22"/>
        <v>329610.19210124016</v>
      </c>
      <c r="FK13" s="505">
        <f t="shared" si="22"/>
        <v>336110.10802745819</v>
      </c>
      <c r="FL13" s="505">
        <f t="shared" si="22"/>
        <v>337692.74752066657</v>
      </c>
      <c r="FM13" s="505">
        <f t="shared" si="22"/>
        <v>338100.49549028277</v>
      </c>
      <c r="FN13" s="505">
        <f t="shared" si="22"/>
        <v>341056.49952152371</v>
      </c>
      <c r="FO13" s="505">
        <f t="shared" si="22"/>
        <v>348511.44789391756</v>
      </c>
      <c r="FP13" s="505">
        <f t="shared" si="22"/>
        <v>347949.02454599738</v>
      </c>
      <c r="FQ13" s="505">
        <f t="shared" si="22"/>
        <v>348407.68399220705</v>
      </c>
      <c r="FR13" s="505">
        <f t="shared" si="22"/>
        <v>358862.49923792481</v>
      </c>
      <c r="FS13" s="505">
        <f t="shared" si="22"/>
        <v>357400.42441687733</v>
      </c>
      <c r="FT13" s="505">
        <f t="shared" si="22"/>
        <v>355642.05827593803</v>
      </c>
      <c r="FU13" s="505">
        <f t="shared" si="22"/>
        <v>355563.41631883383</v>
      </c>
      <c r="FV13" s="505">
        <f t="shared" si="22"/>
        <v>359123.81277155876</v>
      </c>
      <c r="FW13" s="505">
        <f t="shared" si="22"/>
        <v>356564.79701417685</v>
      </c>
      <c r="FX13" s="505">
        <f t="shared" si="22"/>
        <v>362791.84922039509</v>
      </c>
      <c r="FY13" s="505">
        <f t="shared" si="22"/>
        <v>371476.25344306231</v>
      </c>
      <c r="FZ13" s="505">
        <f t="shared" si="22"/>
        <v>376328.69237935543</v>
      </c>
      <c r="GA13" s="505">
        <f t="shared" si="22"/>
        <v>379862.02338834107</v>
      </c>
      <c r="GB13" s="505">
        <f t="shared" si="22"/>
        <v>377980.73725324869</v>
      </c>
      <c r="GC13" s="505">
        <f t="shared" si="22"/>
        <v>378029.49180132151</v>
      </c>
      <c r="GD13" s="505">
        <f t="shared" si="22"/>
        <v>387298.50739303604</v>
      </c>
      <c r="GE13" s="505">
        <f t="shared" si="22"/>
        <v>387860.92667386308</v>
      </c>
      <c r="GF13" s="505">
        <f t="shared" si="22"/>
        <v>385902.82882964611</v>
      </c>
      <c r="GG13" s="505">
        <f t="shared" si="22"/>
        <v>386970.39946842194</v>
      </c>
      <c r="GH13" s="505">
        <f t="shared" si="22"/>
        <v>396561.79639181495</v>
      </c>
      <c r="GI13" s="505">
        <f t="shared" si="22"/>
        <v>391643.10211718082</v>
      </c>
      <c r="GJ13" s="505">
        <f t="shared" si="22"/>
        <v>393156.92980876565</v>
      </c>
      <c r="GK13" s="505">
        <f t="shared" si="22"/>
        <v>398267.6364325285</v>
      </c>
      <c r="GL13" s="505">
        <f t="shared" si="22"/>
        <v>404152.27229733765</v>
      </c>
      <c r="GM13" s="505">
        <f t="shared" si="22"/>
        <v>401550.93110866845</v>
      </c>
      <c r="GN13" s="505">
        <f t="shared" si="22"/>
        <v>408225.65628898144</v>
      </c>
      <c r="GO13" s="505">
        <f t="shared" si="22"/>
        <v>417633.55507645011</v>
      </c>
      <c r="GP13" s="505">
        <f t="shared" si="22"/>
        <v>423275.24726507068</v>
      </c>
      <c r="GQ13" s="505">
        <f t="shared" si="22"/>
        <v>426449.25771617889</v>
      </c>
      <c r="GR13" s="505">
        <f t="shared" si="22"/>
        <v>425589.97479841113</v>
      </c>
      <c r="GS13" s="505">
        <f t="shared" si="22"/>
        <v>425983.31724235415</v>
      </c>
      <c r="GT13" s="505">
        <f t="shared" si="22"/>
        <v>432870.74461258948</v>
      </c>
      <c r="GU13" s="505">
        <f t="shared" si="22"/>
        <v>431171.70320731401</v>
      </c>
      <c r="GV13" s="505">
        <f t="shared" si="22"/>
        <v>433238.47168709338</v>
      </c>
      <c r="GW13" s="505">
        <f t="shared" si="22"/>
        <v>440796.83259779215</v>
      </c>
      <c r="GX13" s="505">
        <f t="shared" si="22"/>
        <v>455542.82604295015</v>
      </c>
      <c r="GY13" s="505">
        <f t="shared" si="22"/>
        <v>449400.77656012774</v>
      </c>
      <c r="GZ13" s="505">
        <f t="shared" si="22"/>
        <v>455754.26468485594</v>
      </c>
      <c r="HA13" s="505">
        <f t="shared" si="22"/>
        <v>462211.41615396738</v>
      </c>
      <c r="HB13" s="505">
        <f t="shared" si="22"/>
        <v>456472.7001427114</v>
      </c>
      <c r="HC13" s="505">
        <f t="shared" ref="HC13:JN13" si="23">_xlfn.FORECAST.LINEAR(HC12,HC8:HC9,HC6:HC7)</f>
        <v>451681.37406387925</v>
      </c>
      <c r="HD13" s="505">
        <f t="shared" si="23"/>
        <v>460234.6755540967</v>
      </c>
      <c r="HE13" s="505">
        <f t="shared" si="23"/>
        <v>470752.30128206313</v>
      </c>
      <c r="HF13" s="505">
        <f t="shared" si="23"/>
        <v>471937.12249121815</v>
      </c>
      <c r="HG13" s="505">
        <f t="shared" si="23"/>
        <v>470211.32982227951</v>
      </c>
      <c r="HH13" s="505">
        <f t="shared" si="23"/>
        <v>471943.74614205956</v>
      </c>
      <c r="HI13" s="505">
        <f t="shared" si="23"/>
        <v>475084.34984785318</v>
      </c>
      <c r="HJ13" s="505">
        <f t="shared" si="23"/>
        <v>477593.49642258883</v>
      </c>
      <c r="HK13" s="505">
        <f t="shared" si="23"/>
        <v>473964.41023664176</v>
      </c>
      <c r="HL13" s="505">
        <f t="shared" si="23"/>
        <v>475417.93353530765</v>
      </c>
      <c r="HM13" s="505">
        <f t="shared" si="23"/>
        <v>479998.52701577544</v>
      </c>
      <c r="HN13" s="505">
        <f t="shared" si="23"/>
        <v>485755.76809236407</v>
      </c>
      <c r="HO13" s="505">
        <f t="shared" si="23"/>
        <v>480087.24867528677</v>
      </c>
      <c r="HP13" s="505">
        <f t="shared" si="23"/>
        <v>484578.63549435139</v>
      </c>
      <c r="HQ13" s="505">
        <f t="shared" si="23"/>
        <v>491315.71757391095</v>
      </c>
      <c r="HR13" s="505">
        <f t="shared" si="23"/>
        <v>492448.36626821756</v>
      </c>
      <c r="HS13" s="505">
        <f t="shared" si="23"/>
        <v>494876.36681906879</v>
      </c>
      <c r="HT13" s="505">
        <f t="shared" si="23"/>
        <v>503411.89033454657</v>
      </c>
      <c r="HU13" s="505">
        <f t="shared" si="23"/>
        <v>510526.13611521572</v>
      </c>
      <c r="HV13" s="505">
        <f t="shared" si="23"/>
        <v>508756.73110580444</v>
      </c>
      <c r="HW13" s="505">
        <f t="shared" si="23"/>
        <v>512872.72580456734</v>
      </c>
      <c r="HX13" s="505">
        <f t="shared" si="23"/>
        <v>516467.86858384311</v>
      </c>
      <c r="HY13" s="505">
        <f t="shared" si="23"/>
        <v>518084.70970179141</v>
      </c>
      <c r="HZ13" s="505">
        <f t="shared" si="23"/>
        <v>516287.89258313179</v>
      </c>
      <c r="IA13" s="505">
        <f t="shared" si="23"/>
        <v>525262.90168261528</v>
      </c>
      <c r="IB13" s="505">
        <f t="shared" si="23"/>
        <v>528367.68291853275</v>
      </c>
      <c r="IC13" s="505">
        <f t="shared" si="23"/>
        <v>529811.78670595586</v>
      </c>
      <c r="ID13" s="505">
        <f t="shared" si="23"/>
        <v>533770.08305978775</v>
      </c>
      <c r="IE13" s="505">
        <f t="shared" si="23"/>
        <v>538334.35723927617</v>
      </c>
      <c r="IF13" s="505">
        <f t="shared" si="23"/>
        <v>542945.4322682023</v>
      </c>
      <c r="IG13" s="505">
        <f t="shared" si="23"/>
        <v>545177.14490710199</v>
      </c>
      <c r="IH13" s="505">
        <f t="shared" si="23"/>
        <v>542621.22390210629</v>
      </c>
      <c r="II13" s="505">
        <f t="shared" si="23"/>
        <v>537055.29298451543</v>
      </c>
      <c r="IJ13" s="505">
        <f t="shared" si="23"/>
        <v>550462.59028637409</v>
      </c>
      <c r="IK13" s="505">
        <f t="shared" si="23"/>
        <v>563274.84399792552</v>
      </c>
      <c r="IL13" s="505">
        <f t="shared" si="23"/>
        <v>556112.90518242121</v>
      </c>
      <c r="IM13" s="505">
        <f t="shared" si="23"/>
        <v>568770.92712175846</v>
      </c>
      <c r="IN13" s="505">
        <f t="shared" si="23"/>
        <v>574501.16951501369</v>
      </c>
      <c r="IO13" s="505">
        <f t="shared" si="23"/>
        <v>574418.39548701048</v>
      </c>
      <c r="IP13" s="505">
        <f t="shared" si="23"/>
        <v>569643.49438178539</v>
      </c>
      <c r="IQ13" s="505">
        <f t="shared" si="23"/>
        <v>580720.20580303669</v>
      </c>
      <c r="IR13" s="505">
        <f t="shared" si="23"/>
        <v>581004.02378210425</v>
      </c>
      <c r="IS13" s="505">
        <f t="shared" si="23"/>
        <v>580306.96203920245</v>
      </c>
      <c r="IT13" s="505">
        <f t="shared" si="23"/>
        <v>588344.96619602386</v>
      </c>
      <c r="IU13" s="505">
        <f t="shared" si="23"/>
        <v>588263.2284164154</v>
      </c>
      <c r="IV13" s="505">
        <f t="shared" si="23"/>
        <v>590701.44884485006</v>
      </c>
      <c r="IW13" s="505">
        <f t="shared" si="23"/>
        <v>596624.13673120737</v>
      </c>
      <c r="IX13" s="505">
        <f t="shared" si="23"/>
        <v>606967.20656502247</v>
      </c>
      <c r="IY13" s="505">
        <f t="shared" si="23"/>
        <v>598107.37727457285</v>
      </c>
      <c r="IZ13" s="505">
        <f t="shared" si="23"/>
        <v>610290.16445088387</v>
      </c>
      <c r="JA13" s="505">
        <f t="shared" si="23"/>
        <v>626295.65446949005</v>
      </c>
      <c r="JB13" s="505">
        <f t="shared" si="23"/>
        <v>629071.87292176485</v>
      </c>
      <c r="JC13" s="505">
        <f t="shared" si="23"/>
        <v>640384.80607414246</v>
      </c>
      <c r="JD13" s="505">
        <f t="shared" si="23"/>
        <v>644417.45881061815</v>
      </c>
      <c r="JE13" s="505">
        <f t="shared" si="23"/>
        <v>645385.15956861526</v>
      </c>
      <c r="JF13" s="505">
        <f t="shared" si="23"/>
        <v>647470.75618600845</v>
      </c>
      <c r="JG13" s="505">
        <f t="shared" si="23"/>
        <v>656152.55659544468</v>
      </c>
      <c r="JH13" s="505">
        <f t="shared" si="23"/>
        <v>651852.66842061281</v>
      </c>
      <c r="JI13" s="505">
        <f t="shared" si="23"/>
        <v>649804.76708590984</v>
      </c>
      <c r="JJ13" s="505">
        <f t="shared" si="23"/>
        <v>665080.82706881175</v>
      </c>
      <c r="JK13" s="505">
        <f t="shared" si="23"/>
        <v>665045.23971127765</v>
      </c>
      <c r="JL13" s="505">
        <f t="shared" si="23"/>
        <v>664772.50585723855</v>
      </c>
      <c r="JM13" s="505">
        <f t="shared" si="23"/>
        <v>670955.11520516872</v>
      </c>
      <c r="JN13" s="505">
        <f t="shared" si="23"/>
        <v>690187.16260957718</v>
      </c>
      <c r="JO13" s="505">
        <f t="shared" ref="JO13:KR13" si="24">_xlfn.FORECAST.LINEAR(JO12,JO8:JO9,JO6:JO7)</f>
        <v>678750.64620375633</v>
      </c>
      <c r="JP13" s="505">
        <f t="shared" si="24"/>
        <v>687815.3745816946</v>
      </c>
      <c r="JQ13" s="505">
        <f t="shared" si="24"/>
        <v>702173.94703325629</v>
      </c>
      <c r="JR13" s="505">
        <f t="shared" si="24"/>
        <v>706769.42097270489</v>
      </c>
      <c r="JS13" s="505">
        <f t="shared" si="24"/>
        <v>712633.23265531659</v>
      </c>
      <c r="JT13" s="505">
        <f t="shared" si="24"/>
        <v>709921.01146247983</v>
      </c>
      <c r="JU13" s="505">
        <f t="shared" si="24"/>
        <v>709544.54427713156</v>
      </c>
      <c r="JV13" s="505">
        <f t="shared" si="24"/>
        <v>722301.49564620852</v>
      </c>
      <c r="JW13" s="505">
        <f t="shared" si="24"/>
        <v>730271.50192156434</v>
      </c>
      <c r="JX13" s="505">
        <f t="shared" si="24"/>
        <v>728770.56501713395</v>
      </c>
      <c r="JY13" s="505">
        <f t="shared" si="24"/>
        <v>729808.0287771821</v>
      </c>
      <c r="JZ13" s="505">
        <f t="shared" si="24"/>
        <v>745248.43555670977</v>
      </c>
      <c r="KA13" s="505">
        <f t="shared" si="24"/>
        <v>740117.5508878231</v>
      </c>
      <c r="KB13" s="505">
        <f t="shared" si="24"/>
        <v>742972.40840914845</v>
      </c>
      <c r="KC13" s="505">
        <f t="shared" si="24"/>
        <v>750449.70971244574</v>
      </c>
      <c r="KD13" s="505">
        <f t="shared" si="24"/>
        <v>759202.68963333964</v>
      </c>
      <c r="KE13" s="505">
        <f t="shared" si="24"/>
        <v>752586.27598792315</v>
      </c>
      <c r="KF13" s="505">
        <f t="shared" si="24"/>
        <v>763543.72837853432</v>
      </c>
      <c r="KG13" s="505">
        <f t="shared" si="24"/>
        <v>775468.1676761657</v>
      </c>
      <c r="KH13" s="505">
        <f t="shared" si="24"/>
        <v>771939.78884267807</v>
      </c>
      <c r="KI13" s="505">
        <f t="shared" si="24"/>
        <v>780931.79204851389</v>
      </c>
      <c r="KJ13" s="505">
        <f t="shared" si="24"/>
        <v>787135.32011765242</v>
      </c>
      <c r="KK13" s="505">
        <f t="shared" si="24"/>
        <v>794478.11137217283</v>
      </c>
      <c r="KL13" s="505">
        <f t="shared" si="24"/>
        <v>806826.63086530566</v>
      </c>
      <c r="KM13" s="505">
        <f t="shared" si="24"/>
        <v>802410.39850756526</v>
      </c>
      <c r="KN13" s="505">
        <f t="shared" si="24"/>
        <v>802604.29836773872</v>
      </c>
      <c r="KO13" s="505">
        <f t="shared" si="24"/>
        <v>807408.08579134941</v>
      </c>
      <c r="KP13" s="505">
        <f t="shared" si="24"/>
        <v>816795.6883636713</v>
      </c>
      <c r="KQ13" s="505">
        <f t="shared" si="24"/>
        <v>804848.60964339972</v>
      </c>
      <c r="KR13" s="505">
        <f t="shared" si="24"/>
        <v>809959.28182524443</v>
      </c>
      <c r="KS13" s="505">
        <f>_xlfn.FORECAST.LINEAR(KS12,KQ13:KR13,KQ12:KR12)</f>
        <v>815069.95400708914</v>
      </c>
      <c r="KT13" s="525"/>
    </row>
    <row r="14" spans="1:306" x14ac:dyDescent="0.25">
      <c r="A14" s="525"/>
      <c r="B14" s="525"/>
      <c r="C14" s="525"/>
      <c r="D14" s="525"/>
      <c r="E14" s="525"/>
      <c r="F14" s="525"/>
      <c r="G14" s="525"/>
      <c r="H14" s="525"/>
      <c r="I14" s="525"/>
      <c r="J14" s="525"/>
      <c r="K14" s="525"/>
      <c r="L14" s="525"/>
      <c r="M14" s="525"/>
      <c r="N14" s="525"/>
      <c r="O14" s="525"/>
      <c r="P14" s="525"/>
      <c r="Q14" s="525"/>
      <c r="R14" s="525"/>
      <c r="S14" s="525"/>
      <c r="T14" s="525"/>
      <c r="U14" s="525"/>
      <c r="V14" s="525"/>
      <c r="W14" s="525"/>
      <c r="X14" s="525"/>
      <c r="Y14" s="525"/>
      <c r="Z14" s="525"/>
      <c r="AA14" s="525"/>
      <c r="AB14" s="525"/>
      <c r="AC14" s="525"/>
      <c r="AD14" s="525"/>
      <c r="AE14" s="525"/>
      <c r="AF14" s="525"/>
      <c r="AG14" s="525"/>
      <c r="AH14" s="525"/>
      <c r="AI14" s="525"/>
      <c r="AJ14" s="525"/>
      <c r="AK14" s="525"/>
      <c r="AL14" s="525"/>
      <c r="AM14" s="525"/>
      <c r="AN14" s="525"/>
      <c r="AO14" s="525"/>
      <c r="AP14" s="525"/>
      <c r="AQ14" s="525"/>
      <c r="AR14" s="525"/>
      <c r="AS14" s="525"/>
      <c r="AT14" s="525"/>
      <c r="AU14" s="525"/>
      <c r="AV14" s="525"/>
      <c r="AW14" s="525"/>
      <c r="AX14" s="525"/>
      <c r="AY14" s="525"/>
      <c r="AZ14" s="525"/>
      <c r="BA14" s="525"/>
      <c r="BB14" s="525"/>
      <c r="BC14" s="525"/>
      <c r="BD14" s="525"/>
      <c r="BE14" s="525"/>
      <c r="BF14" s="525"/>
      <c r="BG14" s="525"/>
      <c r="BH14" s="525"/>
      <c r="BI14" s="525"/>
      <c r="BJ14" s="525"/>
      <c r="BK14" s="525"/>
      <c r="BL14" s="525"/>
      <c r="BM14" s="525"/>
      <c r="BN14" s="525"/>
      <c r="BO14" s="525"/>
      <c r="BP14" s="525"/>
      <c r="BQ14" s="525"/>
      <c r="BR14" s="525"/>
      <c r="BS14" s="525"/>
      <c r="BT14" s="525"/>
      <c r="BU14" s="525"/>
      <c r="BV14" s="525"/>
      <c r="BW14" s="525"/>
      <c r="BX14" s="525"/>
      <c r="BY14" s="525"/>
      <c r="BZ14" s="525"/>
      <c r="CA14" s="525"/>
      <c r="CB14" s="525"/>
      <c r="CC14" s="525"/>
      <c r="CD14" s="525"/>
      <c r="CE14" s="525"/>
      <c r="CF14" s="525"/>
      <c r="CG14" s="525"/>
      <c r="CH14" s="525"/>
      <c r="CI14" s="525"/>
      <c r="CJ14" s="525"/>
      <c r="CK14" s="525"/>
      <c r="CL14" s="525"/>
      <c r="CM14" s="525"/>
      <c r="CN14" s="525"/>
      <c r="CO14" s="525"/>
      <c r="CP14" s="525"/>
      <c r="CQ14" s="525"/>
      <c r="CR14" s="525"/>
      <c r="CS14" s="525"/>
      <c r="CT14" s="525"/>
      <c r="CU14" s="525"/>
      <c r="CV14" s="525"/>
      <c r="CW14" s="525"/>
      <c r="CX14" s="525"/>
      <c r="CY14" s="525"/>
      <c r="CZ14" s="525"/>
      <c r="DA14" s="525"/>
      <c r="DB14" s="525"/>
      <c r="DC14" s="525"/>
      <c r="DD14" s="525"/>
      <c r="DE14" s="525"/>
      <c r="DF14" s="525"/>
      <c r="DG14" s="525"/>
      <c r="DH14" s="525"/>
      <c r="DI14" s="525"/>
      <c r="DJ14" s="525"/>
      <c r="DK14" s="525"/>
      <c r="DL14" s="525"/>
      <c r="DM14" s="525"/>
      <c r="DN14" s="525"/>
      <c r="DO14" s="525"/>
      <c r="DP14" s="525"/>
      <c r="DQ14" s="525"/>
      <c r="DR14" s="525"/>
      <c r="DS14" s="525"/>
      <c r="DT14" s="525"/>
      <c r="DU14" s="525"/>
      <c r="DV14" s="525"/>
      <c r="DW14" s="525"/>
      <c r="DX14" s="525"/>
      <c r="DY14" s="525"/>
      <c r="DZ14" s="525"/>
      <c r="EA14" s="525"/>
      <c r="EB14" s="525"/>
      <c r="EC14" s="525"/>
      <c r="ED14" s="525"/>
      <c r="EE14" s="525"/>
      <c r="EF14" s="525"/>
      <c r="EG14" s="525"/>
      <c r="EH14" s="525"/>
      <c r="EI14" s="525"/>
      <c r="EJ14" s="525"/>
      <c r="EK14" s="525"/>
      <c r="EL14" s="525"/>
      <c r="EM14" s="525"/>
      <c r="EN14" s="525"/>
      <c r="EO14" s="525"/>
      <c r="EP14" s="525"/>
      <c r="EQ14" s="525"/>
      <c r="ER14" s="525"/>
      <c r="ES14" s="525"/>
      <c r="ET14" s="525"/>
      <c r="EU14" s="525"/>
      <c r="EV14" s="525"/>
      <c r="EW14" s="525"/>
      <c r="EX14" s="525"/>
      <c r="EY14" s="525"/>
      <c r="EZ14" s="525"/>
      <c r="FA14" s="525"/>
      <c r="FB14" s="525"/>
      <c r="FC14" s="525"/>
      <c r="FD14" s="525"/>
      <c r="FE14" s="525"/>
      <c r="FF14" s="525"/>
      <c r="FG14" s="525"/>
      <c r="FH14" s="525"/>
      <c r="FI14" s="525"/>
      <c r="FJ14" s="525"/>
      <c r="FK14" s="525"/>
      <c r="FL14" s="525"/>
      <c r="FM14" s="525"/>
      <c r="FN14" s="525"/>
      <c r="FO14" s="525"/>
      <c r="FP14" s="525"/>
      <c r="FQ14" s="525"/>
      <c r="FR14" s="525"/>
      <c r="FS14" s="525"/>
      <c r="FT14" s="525"/>
      <c r="FU14" s="525"/>
      <c r="FV14" s="525"/>
      <c r="FW14" s="525"/>
      <c r="FX14" s="525"/>
      <c r="FY14" s="525"/>
      <c r="FZ14" s="525"/>
      <c r="GA14" s="525"/>
      <c r="GB14" s="525"/>
      <c r="GC14" s="525"/>
      <c r="GD14" s="525"/>
      <c r="GE14" s="525"/>
      <c r="GF14" s="525"/>
      <c r="GG14" s="525"/>
      <c r="GH14" s="525"/>
      <c r="GI14" s="525"/>
      <c r="GJ14" s="525"/>
      <c r="GK14" s="525"/>
      <c r="GL14" s="525"/>
      <c r="GM14" s="525"/>
      <c r="GN14" s="525"/>
      <c r="GO14" s="525"/>
      <c r="GP14" s="525"/>
      <c r="GQ14" s="525"/>
      <c r="GR14" s="525"/>
      <c r="GS14" s="525"/>
      <c r="GT14" s="525"/>
      <c r="GU14" s="525"/>
      <c r="GV14" s="525"/>
      <c r="GW14" s="525"/>
      <c r="GX14" s="525"/>
      <c r="GY14" s="525"/>
      <c r="GZ14" s="525"/>
      <c r="HA14" s="525"/>
      <c r="HB14" s="525"/>
      <c r="HC14" s="525"/>
      <c r="HD14" s="525"/>
      <c r="HE14" s="525"/>
      <c r="HF14" s="525"/>
      <c r="HG14" s="525"/>
      <c r="HH14" s="525"/>
      <c r="HI14" s="525"/>
      <c r="HJ14" s="525"/>
      <c r="HK14" s="525"/>
      <c r="HL14" s="525"/>
      <c r="HM14" s="525"/>
      <c r="HN14" s="525"/>
      <c r="HO14" s="525"/>
      <c r="HP14" s="525"/>
      <c r="HQ14" s="525"/>
      <c r="HR14" s="525"/>
      <c r="HS14" s="525"/>
      <c r="HT14" s="525"/>
      <c r="HU14" s="525"/>
      <c r="HV14" s="525"/>
      <c r="HW14" s="525"/>
      <c r="HX14" s="525"/>
      <c r="HY14" s="525"/>
      <c r="HZ14" s="525"/>
      <c r="IA14" s="525"/>
      <c r="IB14" s="525"/>
      <c r="IC14" s="525"/>
      <c r="ID14" s="525"/>
      <c r="IE14" s="525"/>
      <c r="IF14" s="525"/>
      <c r="IG14" s="525"/>
      <c r="IH14" s="525"/>
      <c r="II14" s="525"/>
      <c r="IJ14" s="525"/>
      <c r="IK14" s="525"/>
      <c r="IL14" s="525"/>
      <c r="IM14" s="525"/>
      <c r="IN14" s="525"/>
      <c r="IO14" s="525"/>
      <c r="IP14" s="525"/>
      <c r="IQ14" s="525"/>
      <c r="IR14" s="525"/>
      <c r="IS14" s="525"/>
      <c r="IT14" s="525"/>
      <c r="IU14" s="525"/>
      <c r="IV14" s="525"/>
      <c r="IW14" s="525"/>
      <c r="IX14" s="525"/>
      <c r="IY14" s="525"/>
      <c r="IZ14" s="525"/>
      <c r="JA14" s="525"/>
      <c r="JB14" s="525"/>
      <c r="JC14" s="525"/>
      <c r="JD14" s="525"/>
      <c r="JE14" s="525"/>
      <c r="JF14" s="525"/>
      <c r="JG14" s="525"/>
      <c r="JH14" s="525"/>
      <c r="JI14" s="525"/>
      <c r="JJ14" s="525"/>
      <c r="JK14" s="525"/>
      <c r="JL14" s="525"/>
      <c r="JM14" s="525"/>
      <c r="JN14" s="525"/>
      <c r="JO14" s="525"/>
      <c r="JP14" s="525"/>
      <c r="JQ14" s="525"/>
      <c r="JR14" s="525"/>
      <c r="JS14" s="525"/>
      <c r="JT14" s="525"/>
      <c r="JU14" s="525"/>
      <c r="JV14" s="525"/>
      <c r="JW14" s="525"/>
      <c r="JX14" s="525"/>
      <c r="JY14" s="525"/>
      <c r="JZ14" s="525"/>
      <c r="KA14" s="525"/>
      <c r="KB14" s="525"/>
      <c r="KC14" s="525"/>
      <c r="KD14" s="525"/>
      <c r="KE14" s="525"/>
      <c r="KF14" s="525"/>
      <c r="KG14" s="525"/>
      <c r="KH14" s="525"/>
      <c r="KI14" s="525"/>
      <c r="KJ14" s="525"/>
      <c r="KK14" s="525"/>
      <c r="KL14" s="525"/>
      <c r="KM14" s="525"/>
      <c r="KN14" s="525"/>
      <c r="KO14" s="525"/>
      <c r="KP14" s="525"/>
      <c r="KQ14" s="525"/>
      <c r="KR14" s="525"/>
      <c r="KS14" s="525" t="s">
        <v>514</v>
      </c>
      <c r="KT14" s="525"/>
    </row>
  </sheetData>
  <mergeCells count="1">
    <mergeCell ref="A1:K2"/>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74"/>
  <sheetViews>
    <sheetView zoomScale="85" zoomScaleNormal="85" workbookViewId="0">
      <selection activeCell="A6" sqref="A6:I6"/>
    </sheetView>
  </sheetViews>
  <sheetFormatPr defaultColWidth="8.7109375" defaultRowHeight="15" x14ac:dyDescent="0.25"/>
  <cols>
    <col min="1" max="1" width="80" customWidth="1"/>
    <col min="2" max="2" width="14" customWidth="1"/>
    <col min="3" max="3" width="9" bestFit="1" customWidth="1"/>
    <col min="4" max="17" width="11.42578125" bestFit="1" customWidth="1"/>
    <col min="18" max="18" width="15.42578125" customWidth="1"/>
    <col min="19" max="19" width="13.42578125" customWidth="1"/>
    <col min="20" max="20" width="11.42578125" bestFit="1" customWidth="1"/>
    <col min="21" max="21" width="12.42578125" bestFit="1" customWidth="1"/>
    <col min="22" max="22" width="16" customWidth="1"/>
    <col min="23" max="23" width="12.42578125" bestFit="1" customWidth="1"/>
    <col min="24" max="24" width="22.28515625" customWidth="1"/>
    <col min="25" max="31" width="13.7109375" bestFit="1" customWidth="1"/>
  </cols>
  <sheetData>
    <row r="1" spans="1:25" ht="24.4" customHeight="1" x14ac:dyDescent="0.25">
      <c r="A1" s="37"/>
      <c r="B1" s="282">
        <v>1999</v>
      </c>
      <c r="C1" s="281">
        <v>2000</v>
      </c>
      <c r="D1" s="281">
        <v>2001</v>
      </c>
      <c r="E1" s="52">
        <v>2002</v>
      </c>
      <c r="F1" s="52">
        <v>2003</v>
      </c>
      <c r="G1" s="52">
        <v>2004</v>
      </c>
      <c r="H1" s="52">
        <v>2005</v>
      </c>
      <c r="I1" s="52">
        <v>2006</v>
      </c>
      <c r="J1" s="52">
        <v>2007</v>
      </c>
      <c r="K1" s="52">
        <v>2008</v>
      </c>
      <c r="L1" s="52">
        <v>2009</v>
      </c>
      <c r="M1" s="52">
        <v>2010</v>
      </c>
      <c r="N1" s="52">
        <v>2011</v>
      </c>
      <c r="O1" s="52">
        <v>2012</v>
      </c>
      <c r="P1" s="52">
        <v>2013</v>
      </c>
      <c r="Q1" s="52">
        <v>2014</v>
      </c>
      <c r="R1" s="52">
        <v>2015</v>
      </c>
      <c r="S1" s="52">
        <v>2016</v>
      </c>
      <c r="T1" s="52">
        <v>2017</v>
      </c>
      <c r="U1" s="52">
        <v>2018</v>
      </c>
      <c r="V1" s="52">
        <v>2019</v>
      </c>
      <c r="W1" s="52">
        <v>2020</v>
      </c>
      <c r="X1" s="52">
        <v>2021</v>
      </c>
    </row>
    <row r="2" spans="1:25" x14ac:dyDescent="0.25">
      <c r="A2" s="70" t="s">
        <v>56</v>
      </c>
      <c r="B2">
        <v>0</v>
      </c>
      <c r="C2">
        <v>0</v>
      </c>
      <c r="D2">
        <v>0</v>
      </c>
      <c r="E2">
        <f t="shared" ref="E2:W2" si="0">C70</f>
        <v>0</v>
      </c>
      <c r="F2">
        <f t="shared" si="0"/>
        <v>1893</v>
      </c>
      <c r="G2">
        <f t="shared" si="0"/>
        <v>3256</v>
      </c>
      <c r="H2">
        <f t="shared" si="0"/>
        <v>5484</v>
      </c>
      <c r="I2" s="20">
        <f t="shared" si="0"/>
        <v>8555.5</v>
      </c>
      <c r="J2" s="20">
        <f t="shared" si="0"/>
        <v>8602.5</v>
      </c>
      <c r="K2" s="20">
        <f t="shared" si="0"/>
        <v>11754.666666666666</v>
      </c>
      <c r="L2" s="20">
        <f t="shared" si="0"/>
        <v>12288.5</v>
      </c>
      <c r="M2" s="20">
        <f t="shared" si="0"/>
        <v>13504.5</v>
      </c>
      <c r="N2" s="20">
        <f t="shared" si="0"/>
        <v>14831.5</v>
      </c>
      <c r="O2">
        <f t="shared" si="0"/>
        <v>16095</v>
      </c>
      <c r="P2">
        <f t="shared" si="0"/>
        <v>16777</v>
      </c>
      <c r="Q2">
        <f t="shared" si="0"/>
        <v>17759</v>
      </c>
      <c r="R2" s="20">
        <f t="shared" si="0"/>
        <v>19961.7977115549</v>
      </c>
      <c r="S2" s="20">
        <f t="shared" si="0"/>
        <v>23096.436999999998</v>
      </c>
      <c r="T2" s="20">
        <f t="shared" si="0"/>
        <v>29811</v>
      </c>
      <c r="U2">
        <f t="shared" si="0"/>
        <v>41905</v>
      </c>
      <c r="V2">
        <f t="shared" si="0"/>
        <v>50000</v>
      </c>
      <c r="W2">
        <f t="shared" si="0"/>
        <v>67558</v>
      </c>
      <c r="X2">
        <v>80895</v>
      </c>
    </row>
    <row r="3" spans="1:25" ht="30" customHeight="1" x14ac:dyDescent="0.25">
      <c r="A3" s="70" t="s">
        <v>57</v>
      </c>
      <c r="B3">
        <v>0</v>
      </c>
      <c r="C3">
        <v>0</v>
      </c>
      <c r="D3">
        <v>0</v>
      </c>
      <c r="E3">
        <f t="shared" ref="E3:W3" si="1">C71</f>
        <v>0</v>
      </c>
      <c r="F3">
        <f t="shared" si="1"/>
        <v>0</v>
      </c>
      <c r="G3">
        <f t="shared" si="1"/>
        <v>0</v>
      </c>
      <c r="H3" s="20">
        <f t="shared" si="1"/>
        <v>0</v>
      </c>
      <c r="I3" s="20">
        <f t="shared" si="1"/>
        <v>0</v>
      </c>
      <c r="J3" s="20">
        <f t="shared" si="1"/>
        <v>2034.5</v>
      </c>
      <c r="K3" s="20">
        <f t="shared" si="1"/>
        <v>2610.6666666666665</v>
      </c>
      <c r="L3" s="20">
        <f t="shared" si="1"/>
        <v>3529</v>
      </c>
      <c r="M3" s="20">
        <f t="shared" si="1"/>
        <v>4519</v>
      </c>
      <c r="N3" s="20">
        <f t="shared" si="1"/>
        <v>5316.5</v>
      </c>
      <c r="O3" s="20">
        <f t="shared" si="1"/>
        <v>6103</v>
      </c>
      <c r="P3" s="20">
        <f t="shared" si="1"/>
        <v>6852</v>
      </c>
      <c r="Q3" s="20">
        <f t="shared" si="1"/>
        <v>7979</v>
      </c>
      <c r="R3" s="20">
        <f t="shared" si="1"/>
        <v>8968.7022884451017</v>
      </c>
      <c r="S3" s="20">
        <f t="shared" si="1"/>
        <v>7034.9369999999999</v>
      </c>
      <c r="T3" s="20">
        <f t="shared" si="1"/>
        <v>8528</v>
      </c>
      <c r="U3" s="20">
        <f t="shared" si="1"/>
        <v>10994</v>
      </c>
      <c r="V3" s="20">
        <f t="shared" si="1"/>
        <v>12000</v>
      </c>
      <c r="W3" s="20">
        <f t="shared" si="1"/>
        <v>20069</v>
      </c>
      <c r="X3">
        <v>25452</v>
      </c>
    </row>
    <row r="4" spans="1:25" ht="30.75" customHeight="1" x14ac:dyDescent="0.25">
      <c r="A4" s="70" t="s">
        <v>58</v>
      </c>
      <c r="B4">
        <v>0</v>
      </c>
      <c r="C4">
        <v>0</v>
      </c>
      <c r="D4">
        <v>0</v>
      </c>
      <c r="E4">
        <f t="shared" ref="E4:W4" si="2">C72</f>
        <v>0</v>
      </c>
      <c r="F4">
        <f t="shared" si="2"/>
        <v>0</v>
      </c>
      <c r="G4">
        <f t="shared" si="2"/>
        <v>0</v>
      </c>
      <c r="H4" s="20">
        <f t="shared" si="2"/>
        <v>0</v>
      </c>
      <c r="I4" s="20">
        <f t="shared" si="2"/>
        <v>0</v>
      </c>
      <c r="J4" s="20">
        <f t="shared" si="2"/>
        <v>0</v>
      </c>
      <c r="K4" s="20">
        <f t="shared" si="2"/>
        <v>0</v>
      </c>
      <c r="L4" s="20">
        <f t="shared" si="2"/>
        <v>0</v>
      </c>
      <c r="M4" s="20">
        <f t="shared" si="2"/>
        <v>0</v>
      </c>
      <c r="N4" s="20">
        <f t="shared" si="2"/>
        <v>0</v>
      </c>
      <c r="O4" s="20">
        <f t="shared" si="2"/>
        <v>0</v>
      </c>
      <c r="P4" s="20">
        <f t="shared" si="2"/>
        <v>0</v>
      </c>
      <c r="Q4" s="20">
        <f t="shared" si="2"/>
        <v>0</v>
      </c>
      <c r="R4" s="20">
        <f t="shared" si="2"/>
        <v>0</v>
      </c>
      <c r="S4" s="20">
        <f t="shared" si="2"/>
        <v>1991.626</v>
      </c>
      <c r="T4" s="20">
        <f t="shared" si="2"/>
        <v>3698</v>
      </c>
      <c r="U4" s="20">
        <f t="shared" si="2"/>
        <v>4527.5</v>
      </c>
      <c r="V4" s="20">
        <f t="shared" si="2"/>
        <v>4800</v>
      </c>
      <c r="W4" s="20">
        <f t="shared" si="2"/>
        <v>6596</v>
      </c>
      <c r="X4">
        <v>8029</v>
      </c>
    </row>
    <row r="5" spans="1:25" ht="30.75" customHeight="1" x14ac:dyDescent="0.25">
      <c r="A5" s="70" t="s">
        <v>59</v>
      </c>
      <c r="B5">
        <v>0</v>
      </c>
      <c r="C5">
        <v>0</v>
      </c>
      <c r="D5">
        <v>0</v>
      </c>
      <c r="E5" s="20">
        <f>SUM(E2:E4)</f>
        <v>0</v>
      </c>
      <c r="F5" s="20">
        <f t="shared" ref="F5:X5" si="3">SUM(F2:F4)</f>
        <v>1893</v>
      </c>
      <c r="G5" s="20">
        <f t="shared" si="3"/>
        <v>3256</v>
      </c>
      <c r="H5" s="20">
        <f t="shared" si="3"/>
        <v>5484</v>
      </c>
      <c r="I5" s="20">
        <f t="shared" si="3"/>
        <v>8555.5</v>
      </c>
      <c r="J5" s="20">
        <f t="shared" si="3"/>
        <v>10637</v>
      </c>
      <c r="K5" s="20">
        <f t="shared" si="3"/>
        <v>14365.333333333332</v>
      </c>
      <c r="L5" s="20">
        <f t="shared" si="3"/>
        <v>15817.5</v>
      </c>
      <c r="M5" s="20">
        <f t="shared" si="3"/>
        <v>18023.5</v>
      </c>
      <c r="N5" s="20">
        <f t="shared" si="3"/>
        <v>20148</v>
      </c>
      <c r="O5" s="20">
        <f t="shared" si="3"/>
        <v>22198</v>
      </c>
      <c r="P5" s="20">
        <f t="shared" si="3"/>
        <v>23629</v>
      </c>
      <c r="Q5" s="20">
        <f t="shared" si="3"/>
        <v>25738</v>
      </c>
      <c r="R5" s="20">
        <f t="shared" si="3"/>
        <v>28930.5</v>
      </c>
      <c r="S5" s="20">
        <f t="shared" si="3"/>
        <v>32122.999999999996</v>
      </c>
      <c r="T5" s="20">
        <f t="shared" si="3"/>
        <v>42037</v>
      </c>
      <c r="U5" s="20">
        <f t="shared" si="3"/>
        <v>57426.5</v>
      </c>
      <c r="V5">
        <f t="shared" si="3"/>
        <v>66800</v>
      </c>
      <c r="W5">
        <f t="shared" si="3"/>
        <v>94223</v>
      </c>
      <c r="X5">
        <f t="shared" si="3"/>
        <v>114376</v>
      </c>
    </row>
    <row r="6" spans="1:25" ht="82.9" customHeight="1" x14ac:dyDescent="0.25">
      <c r="A6" s="558" t="s">
        <v>503</v>
      </c>
      <c r="B6" s="558"/>
      <c r="C6" s="558"/>
      <c r="D6" s="558"/>
      <c r="E6" s="558"/>
      <c r="F6" s="558"/>
      <c r="G6" s="558"/>
      <c r="H6" s="558"/>
      <c r="I6" s="558"/>
      <c r="J6" s="37"/>
      <c r="K6" s="37"/>
      <c r="L6" s="37"/>
      <c r="X6" s="369" t="s">
        <v>60</v>
      </c>
      <c r="Y6" s="22" t="s">
        <v>61</v>
      </c>
    </row>
    <row r="7" spans="1:25" ht="59.65" customHeight="1" x14ac:dyDescent="0.25">
      <c r="A7" s="192" t="s">
        <v>62</v>
      </c>
      <c r="B7" s="190"/>
      <c r="C7" s="191">
        <v>2002</v>
      </c>
      <c r="D7" s="193">
        <v>2003</v>
      </c>
      <c r="E7" s="430"/>
      <c r="F7" s="430"/>
      <c r="G7" s="430"/>
      <c r="H7" s="430"/>
      <c r="I7" s="430"/>
      <c r="J7" s="37"/>
      <c r="K7" s="37"/>
      <c r="L7" s="37"/>
      <c r="X7" s="369"/>
    </row>
    <row r="8" spans="1:25" x14ac:dyDescent="0.25">
      <c r="A8" s="561" t="s">
        <v>63</v>
      </c>
      <c r="B8" s="560"/>
      <c r="C8" s="61">
        <v>0</v>
      </c>
      <c r="D8" s="68">
        <v>1986</v>
      </c>
      <c r="E8" s="430"/>
      <c r="F8" s="430"/>
      <c r="G8" s="430"/>
      <c r="H8" s="430"/>
      <c r="I8" s="430"/>
      <c r="J8" s="37"/>
      <c r="K8" s="37"/>
      <c r="L8" s="37"/>
    </row>
    <row r="9" spans="1:25" x14ac:dyDescent="0.25">
      <c r="A9" s="66" t="s">
        <v>64</v>
      </c>
      <c r="B9" s="64"/>
      <c r="C9" s="61"/>
      <c r="D9" s="68">
        <f>D8</f>
        <v>1986</v>
      </c>
      <c r="E9" s="198"/>
      <c r="F9" s="430"/>
      <c r="G9" s="430"/>
      <c r="H9" s="430"/>
      <c r="I9" s="430"/>
      <c r="J9" s="37"/>
      <c r="K9" s="37"/>
      <c r="L9" s="37"/>
    </row>
    <row r="11" spans="1:25" ht="14.65" customHeight="1" x14ac:dyDescent="0.25">
      <c r="A11" s="199" t="s">
        <v>65</v>
      </c>
      <c r="B11" s="190"/>
      <c r="C11" s="172">
        <v>2002</v>
      </c>
      <c r="D11" s="172">
        <v>2003</v>
      </c>
      <c r="E11" s="172">
        <v>2004</v>
      </c>
      <c r="F11" s="172">
        <v>2005</v>
      </c>
      <c r="G11" s="172">
        <v>2006</v>
      </c>
    </row>
    <row r="12" spans="1:25" x14ac:dyDescent="0.25">
      <c r="A12" s="561" t="s">
        <v>63</v>
      </c>
      <c r="B12" s="560"/>
      <c r="C12" s="202">
        <v>0</v>
      </c>
      <c r="D12" s="190"/>
      <c r="E12" s="190"/>
      <c r="F12" s="190"/>
      <c r="G12" s="200">
        <v>9449</v>
      </c>
    </row>
    <row r="13" spans="1:25" x14ac:dyDescent="0.25">
      <c r="A13" s="66" t="s">
        <v>64</v>
      </c>
      <c r="B13" s="62"/>
      <c r="C13" s="201"/>
      <c r="D13" s="61"/>
      <c r="E13" s="61"/>
      <c r="F13" s="61"/>
      <c r="G13" s="68"/>
    </row>
    <row r="15" spans="1:25" x14ac:dyDescent="0.25">
      <c r="A15" s="27" t="s">
        <v>66</v>
      </c>
      <c r="B15" s="27"/>
      <c r="C15" s="52">
        <v>2002</v>
      </c>
      <c r="D15" s="52">
        <v>2003</v>
      </c>
      <c r="E15" s="52">
        <v>2004</v>
      </c>
      <c r="F15" s="52">
        <v>2005</v>
      </c>
      <c r="G15" s="52">
        <v>2006</v>
      </c>
      <c r="H15" s="52">
        <v>2007</v>
      </c>
      <c r="I15" s="52">
        <v>2008</v>
      </c>
      <c r="J15" s="1"/>
      <c r="K15" s="1"/>
    </row>
    <row r="16" spans="1:25" x14ac:dyDescent="0.25">
      <c r="A16" s="559" t="s">
        <v>63</v>
      </c>
      <c r="B16" s="560"/>
      <c r="C16" s="61"/>
      <c r="D16" s="61"/>
      <c r="E16" s="61"/>
      <c r="F16" s="61"/>
      <c r="G16" s="61">
        <v>8818</v>
      </c>
      <c r="H16" s="61"/>
      <c r="I16" s="61">
        <v>13095</v>
      </c>
    </row>
    <row r="17" spans="1:23" x14ac:dyDescent="0.25">
      <c r="A17" s="559" t="s">
        <v>67</v>
      </c>
      <c r="B17" s="560"/>
      <c r="C17" s="62"/>
      <c r="D17" s="62"/>
      <c r="E17" s="62"/>
      <c r="F17" s="62"/>
      <c r="G17" s="62"/>
      <c r="H17" s="62"/>
      <c r="I17" s="62">
        <v>2567</v>
      </c>
    </row>
    <row r="18" spans="1:23" x14ac:dyDescent="0.25">
      <c r="A18" s="559" t="s">
        <v>68</v>
      </c>
      <c r="B18" s="560"/>
      <c r="C18" s="66"/>
      <c r="D18" s="62"/>
      <c r="E18" s="62"/>
      <c r="F18" s="62"/>
      <c r="G18" s="62"/>
      <c r="H18" s="62"/>
      <c r="I18" s="62"/>
    </row>
    <row r="19" spans="1:23" x14ac:dyDescent="0.25">
      <c r="A19" s="62" t="s">
        <v>64</v>
      </c>
      <c r="B19" s="64"/>
      <c r="C19" s="61"/>
      <c r="D19" s="61"/>
      <c r="E19" s="65"/>
      <c r="F19" s="65"/>
      <c r="G19" s="65">
        <f t="shared" ref="G19:I19" si="4">SUM(G16:G18)</f>
        <v>8818</v>
      </c>
      <c r="H19" s="65">
        <f t="shared" si="4"/>
        <v>0</v>
      </c>
      <c r="I19" s="65">
        <f t="shared" si="4"/>
        <v>15662</v>
      </c>
      <c r="J19" s="29"/>
      <c r="K19" s="29"/>
      <c r="L19" s="29"/>
      <c r="M19" t="s">
        <v>69</v>
      </c>
    </row>
    <row r="21" spans="1:23" x14ac:dyDescent="0.25">
      <c r="A21" s="51" t="s">
        <v>70</v>
      </c>
      <c r="B21" s="27"/>
      <c r="C21" s="52">
        <v>2002</v>
      </c>
      <c r="D21" s="52">
        <v>2003</v>
      </c>
      <c r="E21" s="52">
        <v>2004</v>
      </c>
      <c r="F21" s="52">
        <v>2005</v>
      </c>
      <c r="G21" s="52">
        <v>2006</v>
      </c>
      <c r="H21" s="52">
        <v>2007</v>
      </c>
      <c r="I21" s="52">
        <v>2008</v>
      </c>
      <c r="J21" s="52">
        <v>2009</v>
      </c>
      <c r="K21" s="52">
        <v>2010</v>
      </c>
      <c r="L21" s="67">
        <v>2011</v>
      </c>
    </row>
    <row r="22" spans="1:23" x14ac:dyDescent="0.25">
      <c r="A22" s="559" t="s">
        <v>63</v>
      </c>
      <c r="B22" s="560"/>
      <c r="C22" s="61">
        <v>0</v>
      </c>
      <c r="D22" s="61">
        <v>0</v>
      </c>
      <c r="E22" s="61">
        <v>3293</v>
      </c>
      <c r="F22" s="61">
        <v>5549</v>
      </c>
      <c r="G22" s="61">
        <v>8068</v>
      </c>
      <c r="H22" s="61">
        <v>8639</v>
      </c>
      <c r="I22" s="61">
        <v>11140</v>
      </c>
      <c r="J22" s="61">
        <v>12349</v>
      </c>
      <c r="K22" s="61">
        <v>13665</v>
      </c>
      <c r="L22" s="68">
        <v>15007</v>
      </c>
    </row>
    <row r="23" spans="1:23" x14ac:dyDescent="0.25">
      <c r="A23" s="559" t="s">
        <v>67</v>
      </c>
      <c r="B23" s="560"/>
      <c r="C23" s="62">
        <v>0</v>
      </c>
      <c r="D23" s="62">
        <v>0</v>
      </c>
      <c r="E23" s="62">
        <v>0</v>
      </c>
      <c r="F23" s="62">
        <v>0</v>
      </c>
      <c r="G23" s="62">
        <v>0</v>
      </c>
      <c r="H23" s="62">
        <v>2132</v>
      </c>
      <c r="I23" s="62">
        <v>2756</v>
      </c>
      <c r="J23" s="62">
        <v>3678</v>
      </c>
      <c r="K23" s="62">
        <v>4597</v>
      </c>
      <c r="L23" s="64">
        <v>5403</v>
      </c>
    </row>
    <row r="24" spans="1:23" ht="33.75" customHeight="1" x14ac:dyDescent="0.25">
      <c r="A24" s="559" t="s">
        <v>68</v>
      </c>
      <c r="B24" s="560"/>
      <c r="C24" s="66">
        <v>0</v>
      </c>
      <c r="D24" s="62">
        <v>0</v>
      </c>
      <c r="E24" s="62">
        <v>0</v>
      </c>
      <c r="F24" s="62">
        <v>0</v>
      </c>
      <c r="G24" s="62">
        <v>0</v>
      </c>
      <c r="H24" s="62">
        <v>0</v>
      </c>
      <c r="I24" s="62">
        <v>0</v>
      </c>
      <c r="J24" s="62">
        <v>0</v>
      </c>
      <c r="K24" s="62">
        <v>0</v>
      </c>
      <c r="L24" s="64">
        <v>0</v>
      </c>
    </row>
    <row r="25" spans="1:23" ht="33" customHeight="1" x14ac:dyDescent="0.25">
      <c r="A25" s="62" t="s">
        <v>64</v>
      </c>
      <c r="B25" s="64"/>
      <c r="C25" s="61"/>
      <c r="D25" s="61"/>
      <c r="E25" s="65">
        <f t="shared" ref="E25:L25" si="5">SUM(E22:E24)</f>
        <v>3293</v>
      </c>
      <c r="F25" s="65">
        <f t="shared" si="5"/>
        <v>5549</v>
      </c>
      <c r="G25" s="65">
        <f t="shared" si="5"/>
        <v>8068</v>
      </c>
      <c r="H25" s="65">
        <f t="shared" si="5"/>
        <v>10771</v>
      </c>
      <c r="I25" s="65">
        <f t="shared" si="5"/>
        <v>13896</v>
      </c>
      <c r="J25" s="65">
        <f t="shared" si="5"/>
        <v>16027</v>
      </c>
      <c r="K25" s="65">
        <f t="shared" si="5"/>
        <v>18262</v>
      </c>
      <c r="L25" s="69">
        <f t="shared" si="5"/>
        <v>20410</v>
      </c>
      <c r="M25" s="29"/>
    </row>
    <row r="27" spans="1:23" x14ac:dyDescent="0.25">
      <c r="A27" s="27" t="s">
        <v>71</v>
      </c>
      <c r="B27" s="63"/>
      <c r="C27" s="52">
        <v>2002</v>
      </c>
      <c r="D27" s="52">
        <v>2003</v>
      </c>
      <c r="E27" s="52">
        <v>2004</v>
      </c>
      <c r="F27" s="52">
        <v>2005</v>
      </c>
      <c r="G27" s="52">
        <v>2006</v>
      </c>
      <c r="H27" s="52">
        <v>2007</v>
      </c>
      <c r="I27" s="52">
        <v>2008</v>
      </c>
      <c r="J27" s="52">
        <v>2009</v>
      </c>
      <c r="K27" s="52">
        <v>2010</v>
      </c>
      <c r="L27" s="52">
        <v>2011</v>
      </c>
      <c r="M27" s="67">
        <v>2012</v>
      </c>
    </row>
    <row r="28" spans="1:23" x14ac:dyDescent="0.25">
      <c r="A28" s="559" t="s">
        <v>63</v>
      </c>
      <c r="B28" s="560"/>
      <c r="C28" s="61"/>
      <c r="D28" s="61">
        <v>1800</v>
      </c>
      <c r="E28" s="61">
        <v>3219</v>
      </c>
      <c r="F28" s="61">
        <v>5419</v>
      </c>
      <c r="G28" s="61">
        <v>7887</v>
      </c>
      <c r="H28" s="61">
        <v>8566</v>
      </c>
      <c r="I28" s="61">
        <v>11029</v>
      </c>
      <c r="J28" s="61">
        <v>12228</v>
      </c>
      <c r="K28" s="61">
        <v>13344</v>
      </c>
      <c r="L28" s="61">
        <v>14656</v>
      </c>
      <c r="M28" s="68">
        <v>16095</v>
      </c>
      <c r="W28" s="30"/>
    </row>
    <row r="29" spans="1:23" ht="36.75" customHeight="1" x14ac:dyDescent="0.25">
      <c r="A29" s="559" t="s">
        <v>67</v>
      </c>
      <c r="B29" s="560"/>
      <c r="C29" s="62"/>
      <c r="D29" s="62">
        <v>0</v>
      </c>
      <c r="E29" s="62">
        <v>0</v>
      </c>
      <c r="F29" s="62">
        <v>0</v>
      </c>
      <c r="G29" s="62">
        <v>0</v>
      </c>
      <c r="H29" s="62">
        <v>1937</v>
      </c>
      <c r="I29" s="62">
        <v>2509</v>
      </c>
      <c r="J29" s="62">
        <v>3380</v>
      </c>
      <c r="K29" s="62">
        <v>4441</v>
      </c>
      <c r="L29" s="62">
        <v>5230</v>
      </c>
      <c r="M29" s="64">
        <v>6103</v>
      </c>
      <c r="W29" s="30"/>
    </row>
    <row r="30" spans="1:23" ht="33" customHeight="1" x14ac:dyDescent="0.25">
      <c r="A30" s="62" t="s">
        <v>64</v>
      </c>
      <c r="B30" s="64"/>
      <c r="C30" s="66"/>
      <c r="D30" s="62">
        <f t="shared" ref="D30:M30" si="6">SUM(D28:D29)</f>
        <v>1800</v>
      </c>
      <c r="E30" s="62">
        <f t="shared" si="6"/>
        <v>3219</v>
      </c>
      <c r="F30" s="62">
        <f t="shared" si="6"/>
        <v>5419</v>
      </c>
      <c r="G30" s="62">
        <f t="shared" si="6"/>
        <v>7887</v>
      </c>
      <c r="H30" s="62">
        <f t="shared" si="6"/>
        <v>10503</v>
      </c>
      <c r="I30" s="62">
        <f t="shared" si="6"/>
        <v>13538</v>
      </c>
      <c r="J30" s="62">
        <f t="shared" si="6"/>
        <v>15608</v>
      </c>
      <c r="K30" s="62">
        <f t="shared" si="6"/>
        <v>17785</v>
      </c>
      <c r="L30" s="62">
        <f t="shared" si="6"/>
        <v>19886</v>
      </c>
      <c r="M30" s="64">
        <f t="shared" si="6"/>
        <v>22198</v>
      </c>
      <c r="W30" s="30"/>
    </row>
    <row r="31" spans="1:23" x14ac:dyDescent="0.25">
      <c r="W31" s="30"/>
    </row>
    <row r="32" spans="1:23" x14ac:dyDescent="0.25">
      <c r="A32" s="27" t="s">
        <v>72</v>
      </c>
      <c r="B32" s="27"/>
      <c r="C32" s="27"/>
      <c r="D32" s="27"/>
      <c r="E32" s="27"/>
      <c r="F32" s="27"/>
      <c r="G32" s="27"/>
      <c r="H32" s="27"/>
      <c r="I32" s="27"/>
      <c r="J32" s="27"/>
      <c r="K32" s="27"/>
      <c r="L32" s="27"/>
      <c r="M32" s="27"/>
      <c r="N32" s="52">
        <v>2013</v>
      </c>
      <c r="P32" s="21"/>
      <c r="W32" s="30"/>
    </row>
    <row r="33" spans="1:23" x14ac:dyDescent="0.25">
      <c r="A33" s="557" t="s">
        <v>63</v>
      </c>
      <c r="B33" s="557"/>
      <c r="C33" s="27"/>
      <c r="D33" s="27"/>
      <c r="E33" s="27"/>
      <c r="F33" s="27"/>
      <c r="G33" s="27"/>
      <c r="H33" s="27"/>
      <c r="I33" s="27"/>
      <c r="J33" s="27"/>
      <c r="K33" s="27"/>
      <c r="L33" s="27"/>
      <c r="M33" s="27"/>
      <c r="N33" s="27">
        <v>16777</v>
      </c>
      <c r="P33" s="21"/>
      <c r="W33" s="30"/>
    </row>
    <row r="34" spans="1:23" x14ac:dyDescent="0.25">
      <c r="A34" s="557" t="s">
        <v>67</v>
      </c>
      <c r="B34" s="557"/>
      <c r="C34" s="27"/>
      <c r="D34" s="27"/>
      <c r="E34" s="27"/>
      <c r="F34" s="27"/>
      <c r="G34" s="27"/>
      <c r="H34" s="27"/>
      <c r="I34" s="27"/>
      <c r="J34" s="27"/>
      <c r="K34" s="27"/>
      <c r="L34" s="27"/>
      <c r="M34" s="27"/>
      <c r="N34" s="27">
        <v>6852</v>
      </c>
      <c r="P34" s="21"/>
    </row>
    <row r="35" spans="1:23" ht="34.5" customHeight="1" x14ac:dyDescent="0.25">
      <c r="A35" s="557" t="s">
        <v>68</v>
      </c>
      <c r="B35" s="557"/>
      <c r="C35" s="27"/>
      <c r="D35" s="27"/>
      <c r="E35" s="27"/>
      <c r="F35" s="27"/>
      <c r="G35" s="27"/>
      <c r="H35" s="27"/>
      <c r="I35" s="27"/>
      <c r="J35" s="27"/>
      <c r="K35" s="27"/>
      <c r="L35" s="27"/>
      <c r="M35" s="27"/>
      <c r="N35" s="27">
        <v>0</v>
      </c>
      <c r="P35" s="21"/>
    </row>
    <row r="36" spans="1:23" ht="36.75" customHeight="1" x14ac:dyDescent="0.25">
      <c r="A36" s="27" t="s">
        <v>64</v>
      </c>
      <c r="B36" s="27"/>
      <c r="C36" s="27"/>
      <c r="D36" s="27"/>
      <c r="E36" s="27"/>
      <c r="F36" s="27"/>
      <c r="G36" s="27"/>
      <c r="H36" s="27"/>
      <c r="I36" s="27"/>
      <c r="J36" s="27"/>
      <c r="K36" s="27"/>
      <c r="L36" s="27"/>
      <c r="M36" s="27"/>
      <c r="N36" s="28">
        <f>SUM(N33:N35)</f>
        <v>23629</v>
      </c>
      <c r="P36" s="21"/>
      <c r="W36" s="30"/>
    </row>
    <row r="37" spans="1:23" x14ac:dyDescent="0.25">
      <c r="N37" s="29"/>
      <c r="P37" s="21"/>
      <c r="W37" s="30"/>
    </row>
    <row r="38" spans="1:23" x14ac:dyDescent="0.25">
      <c r="A38" s="27" t="s">
        <v>73</v>
      </c>
      <c r="B38" s="27"/>
      <c r="C38" s="27"/>
      <c r="D38" s="27"/>
      <c r="E38" s="27"/>
      <c r="F38" s="27"/>
      <c r="G38" s="27"/>
      <c r="H38" s="27"/>
      <c r="I38" s="27"/>
      <c r="J38" s="27"/>
      <c r="K38" s="27"/>
      <c r="L38" s="27"/>
      <c r="M38" s="27"/>
      <c r="N38" s="28"/>
      <c r="O38" s="52">
        <v>2014</v>
      </c>
      <c r="P38" s="21" t="s">
        <v>74</v>
      </c>
      <c r="W38" s="30"/>
    </row>
    <row r="39" spans="1:23" x14ac:dyDescent="0.25">
      <c r="A39" s="557" t="s">
        <v>63</v>
      </c>
      <c r="B39" s="557"/>
      <c r="C39" s="27"/>
      <c r="D39" s="27"/>
      <c r="E39" s="27"/>
      <c r="F39" s="27"/>
      <c r="G39" s="27"/>
      <c r="H39" s="27"/>
      <c r="I39" s="27"/>
      <c r="J39" s="27"/>
      <c r="K39" s="27"/>
      <c r="L39" s="27"/>
      <c r="M39" s="27"/>
      <c r="N39" s="28"/>
      <c r="O39" s="27">
        <v>17759</v>
      </c>
      <c r="P39" s="53">
        <f>O39/O42</f>
        <v>0.68999145232729819</v>
      </c>
      <c r="W39" s="30"/>
    </row>
    <row r="40" spans="1:23" x14ac:dyDescent="0.25">
      <c r="A40" s="557" t="s">
        <v>67</v>
      </c>
      <c r="B40" s="557"/>
      <c r="C40" s="27"/>
      <c r="D40" s="27"/>
      <c r="E40" s="27"/>
      <c r="F40" s="27"/>
      <c r="G40" s="27"/>
      <c r="H40" s="27"/>
      <c r="I40" s="27"/>
      <c r="J40" s="27"/>
      <c r="K40" s="27"/>
      <c r="L40" s="27"/>
      <c r="M40" s="27"/>
      <c r="N40" s="28"/>
      <c r="O40" s="27">
        <v>7979</v>
      </c>
      <c r="P40" s="31">
        <f>O40/O42</f>
        <v>0.31000854767270186</v>
      </c>
    </row>
    <row r="41" spans="1:23" ht="43.5" customHeight="1" x14ac:dyDescent="0.25">
      <c r="A41" s="557" t="s">
        <v>68</v>
      </c>
      <c r="B41" s="557"/>
      <c r="C41" s="27"/>
      <c r="D41" s="27"/>
      <c r="E41" s="27"/>
      <c r="F41" s="27"/>
      <c r="G41" s="27"/>
      <c r="H41" s="27"/>
      <c r="I41" s="27"/>
      <c r="J41" s="27"/>
      <c r="K41" s="27"/>
      <c r="L41" s="27"/>
      <c r="M41" s="27"/>
      <c r="N41" s="28"/>
      <c r="O41" s="27">
        <v>0</v>
      </c>
    </row>
    <row r="42" spans="1:23" ht="45" customHeight="1" x14ac:dyDescent="0.25">
      <c r="A42" s="27" t="s">
        <v>64</v>
      </c>
      <c r="B42" s="27"/>
      <c r="C42" s="27"/>
      <c r="D42" s="27"/>
      <c r="E42" s="27"/>
      <c r="F42" s="27"/>
      <c r="G42" s="27"/>
      <c r="H42" s="27"/>
      <c r="I42" s="27"/>
      <c r="J42" s="27"/>
      <c r="K42" s="27"/>
      <c r="L42" s="27"/>
      <c r="M42" s="27"/>
      <c r="N42" s="28"/>
      <c r="O42" s="28">
        <f>SUM(O39:O41)</f>
        <v>25738</v>
      </c>
      <c r="P42" s="21"/>
      <c r="V42" s="30"/>
    </row>
    <row r="43" spans="1:23" ht="36.75" customHeight="1" x14ac:dyDescent="0.25">
      <c r="P43" s="21"/>
      <c r="S43" s="37"/>
    </row>
    <row r="44" spans="1:23" x14ac:dyDescent="0.25">
      <c r="A44" s="27" t="s">
        <v>75</v>
      </c>
      <c r="B44" s="27"/>
      <c r="C44" s="27"/>
      <c r="D44" s="27"/>
      <c r="E44" s="27"/>
      <c r="F44" s="27"/>
      <c r="G44" s="27"/>
      <c r="H44" s="27"/>
      <c r="I44" s="27"/>
      <c r="J44" s="27"/>
      <c r="K44" s="27"/>
      <c r="L44" s="27"/>
      <c r="M44" s="27"/>
      <c r="N44" s="27"/>
      <c r="O44" s="27"/>
      <c r="P44" s="52">
        <v>2015</v>
      </c>
      <c r="Q44" s="52">
        <v>2016</v>
      </c>
      <c r="R44" s="52">
        <v>2017</v>
      </c>
      <c r="S44" s="45" t="s">
        <v>76</v>
      </c>
    </row>
    <row r="45" spans="1:23" x14ac:dyDescent="0.25">
      <c r="A45" s="557" t="s">
        <v>63</v>
      </c>
      <c r="B45" s="557"/>
      <c r="C45" s="27"/>
      <c r="D45" s="27"/>
      <c r="E45" s="27"/>
      <c r="F45" s="27"/>
      <c r="G45" s="27"/>
      <c r="H45" s="27"/>
      <c r="I45" s="27"/>
      <c r="J45" s="27"/>
      <c r="K45" s="27"/>
      <c r="L45" s="27"/>
      <c r="M45" s="27"/>
      <c r="N45" s="27"/>
      <c r="O45" s="27"/>
      <c r="P45" s="32">
        <f>P48*P39</f>
        <v>19961.7977115549</v>
      </c>
      <c r="Q45" s="32">
        <f>Q48*S45</f>
        <v>23096.436999999998</v>
      </c>
      <c r="R45" s="32"/>
      <c r="S45">
        <v>0.71899999999999997</v>
      </c>
    </row>
    <row r="46" spans="1:23" x14ac:dyDescent="0.25">
      <c r="A46" s="557" t="s">
        <v>67</v>
      </c>
      <c r="B46" s="557"/>
      <c r="C46" s="27"/>
      <c r="D46" s="27"/>
      <c r="E46" s="27"/>
      <c r="F46" s="27"/>
      <c r="G46" s="27"/>
      <c r="H46" s="27"/>
      <c r="I46" s="27"/>
      <c r="J46" s="27"/>
      <c r="K46" s="27"/>
      <c r="L46" s="27"/>
      <c r="M46" s="27"/>
      <c r="N46" s="27"/>
      <c r="O46" s="27"/>
      <c r="P46" s="32">
        <f>P48*P40</f>
        <v>8968.7022884451017</v>
      </c>
      <c r="Q46" s="32">
        <f>Q48*S46</f>
        <v>7034.9369999999999</v>
      </c>
      <c r="R46" s="32"/>
      <c r="S46">
        <v>0.219</v>
      </c>
      <c r="W46" s="30"/>
    </row>
    <row r="47" spans="1:23" ht="40.5" customHeight="1" x14ac:dyDescent="0.25">
      <c r="A47" s="557" t="s">
        <v>68</v>
      </c>
      <c r="B47" s="557"/>
      <c r="C47" s="27"/>
      <c r="D47" s="27"/>
      <c r="E47" s="27"/>
      <c r="F47" s="27"/>
      <c r="G47" s="27"/>
      <c r="H47" s="27"/>
      <c r="I47" s="27"/>
      <c r="J47" s="27"/>
      <c r="K47" s="27"/>
      <c r="L47" s="27"/>
      <c r="M47" s="27"/>
      <c r="N47" s="27"/>
      <c r="O47" s="27"/>
      <c r="P47" s="32"/>
      <c r="Q47" s="32">
        <f>Q48*S47</f>
        <v>1991.626</v>
      </c>
      <c r="R47" s="32"/>
      <c r="S47">
        <v>6.2E-2</v>
      </c>
      <c r="W47" s="30"/>
    </row>
    <row r="48" spans="1:23" x14ac:dyDescent="0.25">
      <c r="A48" s="27" t="s">
        <v>64</v>
      </c>
      <c r="B48" s="27"/>
      <c r="C48" s="27"/>
      <c r="D48" s="27"/>
      <c r="E48" s="27"/>
      <c r="F48" s="27"/>
      <c r="G48" s="27"/>
      <c r="H48" s="27"/>
      <c r="I48" s="27"/>
      <c r="J48" s="27"/>
      <c r="K48" s="27"/>
      <c r="L48" s="27"/>
      <c r="M48" s="27"/>
      <c r="N48" s="27"/>
      <c r="O48" s="27"/>
      <c r="P48" s="32">
        <f>(Q48-O42)/2+O42</f>
        <v>28930.5</v>
      </c>
      <c r="Q48" s="27">
        <v>32123</v>
      </c>
      <c r="R48" s="32"/>
      <c r="W48" s="30"/>
    </row>
    <row r="49" spans="1:23" ht="51" customHeight="1" x14ac:dyDescent="0.25">
      <c r="P49" s="21" t="s">
        <v>77</v>
      </c>
      <c r="W49" s="30"/>
    </row>
    <row r="50" spans="1:23" ht="51" customHeight="1" x14ac:dyDescent="0.25">
      <c r="A50" s="213" t="s">
        <v>78</v>
      </c>
      <c r="B50" s="27"/>
      <c r="C50" s="27"/>
      <c r="D50" s="27"/>
      <c r="E50" s="27"/>
      <c r="F50" s="27"/>
      <c r="G50" s="27"/>
      <c r="H50" s="27"/>
      <c r="I50" s="27"/>
      <c r="J50" s="27"/>
      <c r="K50" s="27"/>
      <c r="L50" s="27"/>
      <c r="M50" s="27"/>
      <c r="N50" s="27"/>
      <c r="O50" s="27"/>
      <c r="P50" s="33"/>
      <c r="Q50" s="27"/>
      <c r="R50" s="52">
        <v>2017</v>
      </c>
      <c r="S50" s="52">
        <v>2018</v>
      </c>
      <c r="T50" s="52">
        <v>2019</v>
      </c>
      <c r="W50" s="30"/>
    </row>
    <row r="51" spans="1:23" x14ac:dyDescent="0.25">
      <c r="A51" s="429" t="s">
        <v>63</v>
      </c>
      <c r="B51" s="27"/>
      <c r="C51" s="27"/>
      <c r="D51" s="27"/>
      <c r="E51" s="27"/>
      <c r="F51" s="27"/>
      <c r="G51" s="27"/>
      <c r="H51" s="27"/>
      <c r="I51" s="27"/>
      <c r="J51" s="27"/>
      <c r="K51" s="27"/>
      <c r="L51" s="27"/>
      <c r="M51" s="27"/>
      <c r="N51" s="27"/>
      <c r="O51" s="27"/>
      <c r="P51" s="33"/>
      <c r="Q51" s="27"/>
      <c r="R51" s="27">
        <f>25121+969+3721</f>
        <v>29811</v>
      </c>
      <c r="S51" s="34">
        <f>2134+8222+33454</f>
        <v>43810</v>
      </c>
      <c r="T51" s="34"/>
      <c r="W51" s="30"/>
    </row>
    <row r="52" spans="1:23" x14ac:dyDescent="0.25">
      <c r="A52" s="429" t="s">
        <v>67</v>
      </c>
      <c r="B52" s="27"/>
      <c r="C52" s="27"/>
      <c r="D52" s="27"/>
      <c r="E52" s="27"/>
      <c r="F52" s="27"/>
      <c r="G52" s="27"/>
      <c r="H52" s="27"/>
      <c r="I52" s="27"/>
      <c r="J52" s="27"/>
      <c r="K52" s="27"/>
      <c r="L52" s="27"/>
      <c r="M52" s="27"/>
      <c r="N52" s="27"/>
      <c r="O52" s="27"/>
      <c r="P52" s="33"/>
      <c r="Q52" s="27"/>
      <c r="R52" s="27">
        <f>8528</f>
        <v>8528</v>
      </c>
      <c r="S52" s="34">
        <f>1494+394+9100</f>
        <v>10988</v>
      </c>
      <c r="T52" s="34"/>
      <c r="W52" s="30"/>
    </row>
    <row r="53" spans="1:23" x14ac:dyDescent="0.25">
      <c r="A53" s="429" t="s">
        <v>68</v>
      </c>
      <c r="B53" s="27"/>
      <c r="C53" s="27"/>
      <c r="D53" s="27"/>
      <c r="E53" s="27"/>
      <c r="F53" s="27"/>
      <c r="G53" s="27"/>
      <c r="H53" s="27"/>
      <c r="I53" s="27"/>
      <c r="J53" s="27"/>
      <c r="K53" s="27"/>
      <c r="L53" s="27"/>
      <c r="M53" s="27"/>
      <c r="N53" s="27"/>
      <c r="O53" s="27"/>
      <c r="P53" s="33"/>
      <c r="Q53" s="27"/>
      <c r="R53" s="27">
        <v>3698</v>
      </c>
      <c r="S53" s="34">
        <v>4555</v>
      </c>
      <c r="T53" s="34"/>
      <c r="W53" s="30"/>
    </row>
    <row r="54" spans="1:23" x14ac:dyDescent="0.25">
      <c r="A54" s="27" t="s">
        <v>64</v>
      </c>
      <c r="B54" s="27"/>
      <c r="C54" s="27"/>
      <c r="D54" s="27"/>
      <c r="E54" s="27"/>
      <c r="F54" s="27"/>
      <c r="G54" s="27"/>
      <c r="H54" s="27"/>
      <c r="I54" s="27"/>
      <c r="J54" s="27"/>
      <c r="K54" s="27"/>
      <c r="L54" s="27"/>
      <c r="M54" s="27"/>
      <c r="N54" s="27"/>
      <c r="O54" s="27"/>
      <c r="P54" s="33"/>
      <c r="Q54" s="27"/>
      <c r="R54" s="35">
        <f t="shared" ref="R54" si="7">SUM(R51:R53)</f>
        <v>42037</v>
      </c>
      <c r="S54" s="35">
        <f>SUM(S51:S53)</f>
        <v>59353</v>
      </c>
      <c r="T54" s="35"/>
      <c r="W54" s="30"/>
    </row>
    <row r="55" spans="1:23" ht="51" customHeight="1" x14ac:dyDescent="0.25">
      <c r="R55" t="s">
        <v>79</v>
      </c>
      <c r="S55" t="s">
        <v>80</v>
      </c>
    </row>
    <row r="56" spans="1:23" x14ac:dyDescent="0.25">
      <c r="A56" s="27" t="s">
        <v>81</v>
      </c>
      <c r="B56" s="27"/>
      <c r="C56" s="27"/>
      <c r="D56" s="27"/>
      <c r="E56" s="27"/>
      <c r="F56" s="27"/>
      <c r="G56" s="27"/>
      <c r="H56" s="27"/>
      <c r="I56" s="27"/>
      <c r="J56" s="27"/>
      <c r="K56" s="27"/>
      <c r="L56" s="27"/>
      <c r="M56" s="27"/>
      <c r="N56" s="27"/>
      <c r="O56" s="27"/>
      <c r="P56" s="33"/>
      <c r="Q56" s="27"/>
      <c r="R56" s="27"/>
      <c r="S56" s="52">
        <v>2018</v>
      </c>
      <c r="T56" s="52">
        <v>2019</v>
      </c>
      <c r="W56" s="30"/>
    </row>
    <row r="57" spans="1:23" x14ac:dyDescent="0.25">
      <c r="A57" s="429" t="s">
        <v>63</v>
      </c>
      <c r="B57" s="27"/>
      <c r="C57" s="27"/>
      <c r="D57" s="27"/>
      <c r="E57" s="27"/>
      <c r="F57" s="27"/>
      <c r="G57" s="27"/>
      <c r="H57" s="27"/>
      <c r="I57" s="27"/>
      <c r="J57" s="27"/>
      <c r="K57" s="27"/>
      <c r="L57" s="27"/>
      <c r="M57" s="27"/>
      <c r="N57" s="27"/>
      <c r="O57" s="27"/>
      <c r="P57" s="33"/>
      <c r="Q57" s="27"/>
      <c r="R57" s="27"/>
      <c r="S57" s="34">
        <v>40000</v>
      </c>
      <c r="T57" s="34">
        <v>50000</v>
      </c>
      <c r="W57" s="30"/>
    </row>
    <row r="58" spans="1:23" x14ac:dyDescent="0.25">
      <c r="A58" s="429" t="s">
        <v>67</v>
      </c>
      <c r="B58" s="27"/>
      <c r="C58" s="27"/>
      <c r="D58" s="27"/>
      <c r="E58" s="27"/>
      <c r="F58" s="27"/>
      <c r="G58" s="27"/>
      <c r="H58" s="27"/>
      <c r="I58" s="27"/>
      <c r="J58" s="27"/>
      <c r="K58" s="27"/>
      <c r="L58" s="27"/>
      <c r="M58" s="27"/>
      <c r="N58" s="27"/>
      <c r="O58" s="27"/>
      <c r="P58" s="33"/>
      <c r="Q58" s="27"/>
      <c r="R58" s="27"/>
      <c r="S58" s="34">
        <v>11000</v>
      </c>
      <c r="T58" s="34">
        <v>12000</v>
      </c>
    </row>
    <row r="59" spans="1:23" x14ac:dyDescent="0.25">
      <c r="A59" s="429" t="s">
        <v>68</v>
      </c>
      <c r="B59" s="27"/>
      <c r="C59" s="27"/>
      <c r="D59" s="27"/>
      <c r="E59" s="27"/>
      <c r="F59" s="27"/>
      <c r="G59" s="27"/>
      <c r="H59" s="27"/>
      <c r="I59" s="27"/>
      <c r="J59" s="27"/>
      <c r="K59" s="27"/>
      <c r="L59" s="27"/>
      <c r="M59" s="27"/>
      <c r="N59" s="27"/>
      <c r="O59" s="27"/>
      <c r="P59" s="33"/>
      <c r="Q59" s="27"/>
      <c r="R59" s="27"/>
      <c r="S59" s="34">
        <v>4500</v>
      </c>
      <c r="T59" s="34">
        <v>4800</v>
      </c>
    </row>
    <row r="60" spans="1:23" x14ac:dyDescent="0.25">
      <c r="A60" s="27" t="s">
        <v>64</v>
      </c>
      <c r="B60" s="27"/>
      <c r="C60" s="27"/>
      <c r="D60" s="27"/>
      <c r="E60" s="27"/>
      <c r="F60" s="27"/>
      <c r="G60" s="27"/>
      <c r="H60" s="27"/>
      <c r="I60" s="27"/>
      <c r="J60" s="27"/>
      <c r="K60" s="27"/>
      <c r="L60" s="27"/>
      <c r="M60" s="27"/>
      <c r="N60" s="27"/>
      <c r="O60" s="27"/>
      <c r="P60" s="33"/>
      <c r="Q60" s="27"/>
      <c r="R60" s="27"/>
      <c r="S60" s="35">
        <v>55500</v>
      </c>
      <c r="T60" s="35">
        <v>66800</v>
      </c>
    </row>
    <row r="61" spans="1:23" x14ac:dyDescent="0.25">
      <c r="P61" s="21"/>
      <c r="S61" s="171"/>
      <c r="T61" s="171"/>
    </row>
    <row r="62" spans="1:23" x14ac:dyDescent="0.25">
      <c r="P62" s="21"/>
      <c r="S62" s="171"/>
      <c r="T62" s="171"/>
    </row>
    <row r="63" spans="1:23" x14ac:dyDescent="0.25">
      <c r="A63" s="27" t="s">
        <v>82</v>
      </c>
      <c r="B63" s="27"/>
      <c r="C63" s="27"/>
      <c r="D63" s="27"/>
      <c r="E63" s="27"/>
      <c r="F63" s="27"/>
      <c r="G63" s="27"/>
      <c r="H63" s="27"/>
      <c r="I63" s="27"/>
      <c r="J63" s="27"/>
      <c r="K63" s="27"/>
      <c r="L63" s="27"/>
      <c r="M63" s="27"/>
      <c r="N63" s="27"/>
      <c r="O63" s="27"/>
      <c r="P63" s="33"/>
      <c r="Q63" s="27"/>
      <c r="R63" s="27"/>
      <c r="S63" s="172"/>
      <c r="T63" s="172"/>
      <c r="U63" s="52">
        <v>2020</v>
      </c>
    </row>
    <row r="64" spans="1:23" x14ac:dyDescent="0.25">
      <c r="A64" s="429" t="s">
        <v>63</v>
      </c>
      <c r="B64" s="27"/>
      <c r="C64" s="27"/>
      <c r="D64" s="27"/>
      <c r="E64" s="27"/>
      <c r="F64" s="27"/>
      <c r="G64" s="27"/>
      <c r="H64" s="27"/>
      <c r="I64" s="27"/>
      <c r="J64" s="27"/>
      <c r="K64" s="27"/>
      <c r="L64" s="27"/>
      <c r="M64" s="27"/>
      <c r="N64" s="27"/>
      <c r="O64" s="27"/>
      <c r="P64" s="33"/>
      <c r="Q64" s="27"/>
      <c r="R64" s="27"/>
      <c r="S64" s="34"/>
      <c r="T64" s="34"/>
      <c r="U64" s="34">
        <v>67558</v>
      </c>
    </row>
    <row r="65" spans="1:32" ht="43.15" customHeight="1" x14ac:dyDescent="0.25">
      <c r="A65" s="429" t="s">
        <v>67</v>
      </c>
      <c r="B65" s="27"/>
      <c r="C65" s="27"/>
      <c r="D65" s="27"/>
      <c r="E65" s="27"/>
      <c r="F65" s="27"/>
      <c r="G65" s="27"/>
      <c r="H65" s="27"/>
      <c r="I65" s="27"/>
      <c r="J65" s="27"/>
      <c r="K65" s="27"/>
      <c r="L65" s="27"/>
      <c r="M65" s="27"/>
      <c r="N65" s="27"/>
      <c r="O65" s="27"/>
      <c r="P65" s="33"/>
      <c r="Q65" s="27"/>
      <c r="R65" s="27"/>
      <c r="S65" s="34"/>
      <c r="T65" s="34"/>
      <c r="U65" s="173">
        <v>20069</v>
      </c>
    </row>
    <row r="66" spans="1:32" ht="42" customHeight="1" x14ac:dyDescent="0.25">
      <c r="A66" s="429" t="s">
        <v>68</v>
      </c>
      <c r="B66" s="27"/>
      <c r="C66" s="27"/>
      <c r="D66" s="27"/>
      <c r="E66" s="27"/>
      <c r="F66" s="27"/>
      <c r="G66" s="27"/>
      <c r="H66" s="27"/>
      <c r="I66" s="27"/>
      <c r="J66" s="27"/>
      <c r="K66" s="27"/>
      <c r="L66" s="27"/>
      <c r="M66" s="27"/>
      <c r="N66" s="27"/>
      <c r="O66" s="27"/>
      <c r="P66" s="33"/>
      <c r="Q66" s="27"/>
      <c r="R66" s="27"/>
      <c r="S66" s="34"/>
      <c r="T66" s="34"/>
      <c r="U66" s="173">
        <v>6596</v>
      </c>
    </row>
    <row r="67" spans="1:32" ht="37.15" customHeight="1" x14ac:dyDescent="0.25">
      <c r="A67" s="27" t="s">
        <v>64</v>
      </c>
      <c r="B67" s="27"/>
      <c r="C67" s="27"/>
      <c r="D67" s="27"/>
      <c r="E67" s="27"/>
      <c r="F67" s="27"/>
      <c r="G67" s="27"/>
      <c r="H67" s="27"/>
      <c r="I67" s="27"/>
      <c r="J67" s="27"/>
      <c r="K67" s="27"/>
      <c r="L67" s="27"/>
      <c r="M67" s="27"/>
      <c r="N67" s="27"/>
      <c r="O67" s="27"/>
      <c r="P67" s="33"/>
      <c r="Q67" s="27"/>
      <c r="R67" s="27"/>
      <c r="S67" s="35"/>
      <c r="T67" s="35"/>
      <c r="U67" s="27">
        <f>SUM(U64:U66)</f>
        <v>94223</v>
      </c>
    </row>
    <row r="68" spans="1:32" ht="37.15" customHeight="1" x14ac:dyDescent="0.25"/>
    <row r="69" spans="1:32" ht="28.9" customHeight="1" x14ac:dyDescent="0.25">
      <c r="A69" s="1" t="s">
        <v>83</v>
      </c>
      <c r="C69" s="52">
        <v>2002</v>
      </c>
      <c r="D69" s="52">
        <v>2003</v>
      </c>
      <c r="E69" s="52">
        <v>2004</v>
      </c>
      <c r="F69" s="52">
        <v>2005</v>
      </c>
      <c r="G69" s="52">
        <v>2006</v>
      </c>
      <c r="H69" s="52">
        <v>2007</v>
      </c>
      <c r="I69" s="52">
        <v>2008</v>
      </c>
      <c r="J69" s="52">
        <v>2009</v>
      </c>
      <c r="K69" s="52">
        <v>2010</v>
      </c>
      <c r="L69" s="52">
        <v>2011</v>
      </c>
      <c r="M69" s="52">
        <v>2012</v>
      </c>
      <c r="N69" s="52">
        <v>2013</v>
      </c>
      <c r="O69" s="52">
        <v>2014</v>
      </c>
      <c r="P69" s="52">
        <v>2015</v>
      </c>
      <c r="Q69" s="52">
        <v>2016</v>
      </c>
      <c r="R69" s="52">
        <v>2017</v>
      </c>
      <c r="S69" s="52">
        <v>2018</v>
      </c>
      <c r="T69" s="52">
        <v>2019</v>
      </c>
      <c r="U69" s="52">
        <v>2020</v>
      </c>
      <c r="V69" s="1"/>
      <c r="W69" s="1"/>
      <c r="X69" s="1"/>
      <c r="Y69" s="1"/>
      <c r="Z69" s="1"/>
      <c r="AA69" s="1"/>
      <c r="AB69" s="1"/>
      <c r="AC69" s="1"/>
      <c r="AD69" s="1"/>
      <c r="AE69" s="1"/>
      <c r="AF69" s="1"/>
    </row>
    <row r="70" spans="1:32" ht="42.4" customHeight="1" x14ac:dyDescent="0.25">
      <c r="A70" s="36" t="s">
        <v>63</v>
      </c>
      <c r="C70">
        <v>0</v>
      </c>
      <c r="D70">
        <f>AVERAGE(D8,D28)</f>
        <v>1893</v>
      </c>
      <c r="E70">
        <f>AVERAGE(E22,E28)</f>
        <v>3256</v>
      </c>
      <c r="F70" s="20">
        <f>AVERAGE(F22,F28)</f>
        <v>5484</v>
      </c>
      <c r="G70" s="20">
        <f>AVERAGE(G12,G16,G22,G28)</f>
        <v>8555.5</v>
      </c>
      <c r="H70" s="20">
        <f>AVERAGE(H22,H28)</f>
        <v>8602.5</v>
      </c>
      <c r="I70" s="20">
        <f>AVERAGE(I16,I22,I28)</f>
        <v>11754.666666666666</v>
      </c>
      <c r="J70" s="20">
        <f t="shared" ref="J70:M71" si="8">AVERAGE(J22,J28)</f>
        <v>12288.5</v>
      </c>
      <c r="K70" s="20">
        <f t="shared" si="8"/>
        <v>13504.5</v>
      </c>
      <c r="L70" s="20">
        <f t="shared" si="8"/>
        <v>14831.5</v>
      </c>
      <c r="M70">
        <f t="shared" si="8"/>
        <v>16095</v>
      </c>
      <c r="N70">
        <f>N33</f>
        <v>16777</v>
      </c>
      <c r="O70">
        <f>O39</f>
        <v>17759</v>
      </c>
      <c r="P70" s="20">
        <f t="shared" ref="P70:Q72" si="9">P45</f>
        <v>19961.7977115549</v>
      </c>
      <c r="Q70" s="20">
        <f t="shared" si="9"/>
        <v>23096.436999999998</v>
      </c>
      <c r="R70" s="20">
        <f>R51</f>
        <v>29811</v>
      </c>
      <c r="S70" s="20">
        <f>AVERAGE(S51,S57)</f>
        <v>41905</v>
      </c>
      <c r="T70" s="20">
        <f t="shared" ref="T70:T72" si="10">T57</f>
        <v>50000</v>
      </c>
      <c r="U70" s="20">
        <f t="shared" ref="U70:U72" si="11">U64</f>
        <v>67558</v>
      </c>
    </row>
    <row r="71" spans="1:32" ht="46.9" customHeight="1" x14ac:dyDescent="0.25">
      <c r="A71" s="36" t="s">
        <v>67</v>
      </c>
      <c r="C71">
        <v>0</v>
      </c>
      <c r="D71">
        <v>0</v>
      </c>
      <c r="E71">
        <v>0</v>
      </c>
      <c r="F71">
        <v>0</v>
      </c>
      <c r="G71">
        <v>0</v>
      </c>
      <c r="H71" s="20">
        <f>AVERAGE(H23,H29)</f>
        <v>2034.5</v>
      </c>
      <c r="I71" s="20">
        <f>AVERAGE(I17,I23,I29)</f>
        <v>2610.6666666666665</v>
      </c>
      <c r="J71" s="20">
        <f t="shared" si="8"/>
        <v>3529</v>
      </c>
      <c r="K71" s="20">
        <f t="shared" si="8"/>
        <v>4519</v>
      </c>
      <c r="L71" s="20">
        <f t="shared" si="8"/>
        <v>5316.5</v>
      </c>
      <c r="M71" s="20">
        <f t="shared" si="8"/>
        <v>6103</v>
      </c>
      <c r="N71">
        <f>N34</f>
        <v>6852</v>
      </c>
      <c r="O71">
        <f>O40</f>
        <v>7979</v>
      </c>
      <c r="P71" s="20">
        <f t="shared" si="9"/>
        <v>8968.7022884451017</v>
      </c>
      <c r="Q71" s="20">
        <f t="shared" si="9"/>
        <v>7034.9369999999999</v>
      </c>
      <c r="R71" s="20">
        <f>R52</f>
        <v>8528</v>
      </c>
      <c r="S71" s="20">
        <f>AVERAGE(S52,S58)</f>
        <v>10994</v>
      </c>
      <c r="T71" s="20">
        <f t="shared" si="10"/>
        <v>12000</v>
      </c>
      <c r="U71" s="92">
        <f t="shared" si="11"/>
        <v>20069</v>
      </c>
    </row>
    <row r="72" spans="1:32" ht="57" customHeight="1" x14ac:dyDescent="0.25">
      <c r="A72" s="36" t="s">
        <v>68</v>
      </c>
      <c r="C72">
        <f t="shared" ref="C72:M72" si="12">C24</f>
        <v>0</v>
      </c>
      <c r="D72">
        <f t="shared" si="12"/>
        <v>0</v>
      </c>
      <c r="E72">
        <f t="shared" si="12"/>
        <v>0</v>
      </c>
      <c r="F72">
        <f t="shared" si="12"/>
        <v>0</v>
      </c>
      <c r="G72">
        <f t="shared" si="12"/>
        <v>0</v>
      </c>
      <c r="H72">
        <f t="shared" si="12"/>
        <v>0</v>
      </c>
      <c r="I72">
        <f t="shared" si="12"/>
        <v>0</v>
      </c>
      <c r="J72">
        <f t="shared" si="12"/>
        <v>0</v>
      </c>
      <c r="K72">
        <f t="shared" si="12"/>
        <v>0</v>
      </c>
      <c r="L72">
        <f t="shared" si="12"/>
        <v>0</v>
      </c>
      <c r="M72">
        <f t="shared" si="12"/>
        <v>0</v>
      </c>
      <c r="N72">
        <f>N35</f>
        <v>0</v>
      </c>
      <c r="O72">
        <f>O41</f>
        <v>0</v>
      </c>
      <c r="P72" s="20">
        <f t="shared" si="9"/>
        <v>0</v>
      </c>
      <c r="Q72" s="20">
        <f t="shared" si="9"/>
        <v>1991.626</v>
      </c>
      <c r="R72" s="20">
        <f>R53</f>
        <v>3698</v>
      </c>
      <c r="S72" s="20">
        <f>AVERAGE(S53,S59)</f>
        <v>4527.5</v>
      </c>
      <c r="T72" s="20">
        <f t="shared" si="10"/>
        <v>4800</v>
      </c>
      <c r="U72" s="92">
        <f t="shared" si="11"/>
        <v>6596</v>
      </c>
    </row>
    <row r="73" spans="1:32" x14ac:dyDescent="0.25">
      <c r="A73" s="36" t="s">
        <v>64</v>
      </c>
      <c r="C73">
        <f t="shared" ref="C73:T73" si="13">SUM(C70:C72)</f>
        <v>0</v>
      </c>
      <c r="D73">
        <f t="shared" si="13"/>
        <v>1893</v>
      </c>
      <c r="E73">
        <f t="shared" si="13"/>
        <v>3256</v>
      </c>
      <c r="F73">
        <f t="shared" si="13"/>
        <v>5484</v>
      </c>
      <c r="G73" s="20">
        <f t="shared" si="13"/>
        <v>8555.5</v>
      </c>
      <c r="H73">
        <f t="shared" si="13"/>
        <v>10637</v>
      </c>
      <c r="I73" s="20">
        <f t="shared" si="13"/>
        <v>14365.333333333332</v>
      </c>
      <c r="J73" s="20">
        <f t="shared" si="13"/>
        <v>15817.5</v>
      </c>
      <c r="K73" s="20">
        <f t="shared" si="13"/>
        <v>18023.5</v>
      </c>
      <c r="L73">
        <f t="shared" si="13"/>
        <v>20148</v>
      </c>
      <c r="M73">
        <f t="shared" si="13"/>
        <v>22198</v>
      </c>
      <c r="N73">
        <f t="shared" si="13"/>
        <v>23629</v>
      </c>
      <c r="O73">
        <f t="shared" si="13"/>
        <v>25738</v>
      </c>
      <c r="P73" s="20">
        <f t="shared" si="13"/>
        <v>28930.5</v>
      </c>
      <c r="Q73">
        <f t="shared" si="13"/>
        <v>32122.999999999996</v>
      </c>
      <c r="R73" s="20">
        <f t="shared" si="13"/>
        <v>42037</v>
      </c>
      <c r="S73" s="20">
        <f t="shared" si="13"/>
        <v>57426.5</v>
      </c>
      <c r="T73">
        <f t="shared" si="13"/>
        <v>66800</v>
      </c>
      <c r="U73">
        <f>SUM(U70:U72)</f>
        <v>94223</v>
      </c>
      <c r="V73" s="20"/>
      <c r="W73" s="20"/>
      <c r="X73" s="20"/>
      <c r="Y73" s="20"/>
      <c r="Z73" s="20"/>
      <c r="AA73" s="20"/>
      <c r="AB73" s="20"/>
      <c r="AC73" s="20"/>
      <c r="AD73" s="20"/>
      <c r="AE73" s="20"/>
      <c r="AF73" s="251"/>
    </row>
    <row r="74" spans="1:32" ht="26.65" customHeight="1" x14ac:dyDescent="0.25">
      <c r="A74" s="36"/>
      <c r="Q74" s="20"/>
      <c r="R74" s="20"/>
      <c r="U74" s="48"/>
    </row>
  </sheetData>
  <mergeCells count="20">
    <mergeCell ref="A29:B29"/>
    <mergeCell ref="A41:B41"/>
    <mergeCell ref="A45:B45"/>
    <mergeCell ref="A8:B8"/>
    <mergeCell ref="A16:B16"/>
    <mergeCell ref="A17:B17"/>
    <mergeCell ref="A18:B18"/>
    <mergeCell ref="A12:B12"/>
    <mergeCell ref="A6:I6"/>
    <mergeCell ref="A22:B22"/>
    <mergeCell ref="A23:B23"/>
    <mergeCell ref="A24:B24"/>
    <mergeCell ref="A28:B28"/>
    <mergeCell ref="A46:B46"/>
    <mergeCell ref="A47:B47"/>
    <mergeCell ref="A33:B33"/>
    <mergeCell ref="A34:B34"/>
    <mergeCell ref="A35:B35"/>
    <mergeCell ref="A39:B39"/>
    <mergeCell ref="A40:B40"/>
  </mergeCells>
  <hyperlinks>
    <hyperlink ref="Y6" r:id="rId1" xr:uid="{00000000-0004-0000-0400-000000000000}"/>
  </hyperlinks>
  <pageMargins left="0.7" right="0.7" top="0.75" bottom="0.75" header="0.3" footer="0.3"/>
  <pageSetup orientation="portrait" r:id="rId2"/>
  <ignoredErrors>
    <ignoredError sqref="O42 N36 E25:L25 D30:M30 U67 U73 G19 H19:I19 X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46"/>
  <sheetViews>
    <sheetView zoomScale="85" zoomScaleNormal="85" workbookViewId="0">
      <selection sqref="A1:H1"/>
    </sheetView>
  </sheetViews>
  <sheetFormatPr defaultColWidth="8.7109375" defaultRowHeight="15" x14ac:dyDescent="0.25"/>
  <cols>
    <col min="1" max="1" width="32.28515625" customWidth="1"/>
    <col min="2" max="4" width="17.7109375" customWidth="1"/>
    <col min="5" max="5" width="14" customWidth="1"/>
    <col min="6" max="7" width="11.7109375" customWidth="1"/>
    <col min="12" max="12" width="11.7109375" customWidth="1"/>
    <col min="13" max="13" width="10.42578125" customWidth="1"/>
    <col min="25" max="25" width="16.7109375" customWidth="1"/>
  </cols>
  <sheetData>
    <row r="1" spans="1:28" ht="43.15" customHeight="1" x14ac:dyDescent="0.25">
      <c r="A1" s="562" t="s">
        <v>84</v>
      </c>
      <c r="B1" s="562"/>
      <c r="C1" s="562"/>
      <c r="D1" s="562"/>
      <c r="E1" s="562"/>
      <c r="F1" s="562"/>
      <c r="G1" s="562"/>
      <c r="H1" s="562"/>
      <c r="I1" s="29"/>
      <c r="J1" s="29"/>
      <c r="K1" s="29"/>
      <c r="L1" s="29"/>
      <c r="M1" s="29"/>
      <c r="N1" s="29"/>
      <c r="O1" s="29"/>
      <c r="P1" s="29"/>
      <c r="Q1" s="29"/>
      <c r="R1" s="29"/>
      <c r="S1" s="29"/>
      <c r="T1" s="29" t="s">
        <v>85</v>
      </c>
      <c r="U1" s="29"/>
      <c r="V1" s="29"/>
      <c r="W1" s="29"/>
      <c r="X1" s="29"/>
    </row>
    <row r="2" spans="1:28" ht="15.75" x14ac:dyDescent="0.25">
      <c r="A2" s="57" t="s">
        <v>86</v>
      </c>
      <c r="B2" s="137">
        <v>1999</v>
      </c>
      <c r="C2" s="137">
        <v>2000</v>
      </c>
      <c r="D2" s="137">
        <v>2001</v>
      </c>
      <c r="E2" s="137">
        <v>2002</v>
      </c>
      <c r="F2" s="137">
        <v>2003</v>
      </c>
      <c r="G2" s="137">
        <v>2004</v>
      </c>
      <c r="H2" s="137">
        <v>2005</v>
      </c>
      <c r="I2" s="137">
        <v>2006</v>
      </c>
      <c r="J2" s="137">
        <v>2007</v>
      </c>
      <c r="K2" s="137">
        <v>2008</v>
      </c>
      <c r="L2" s="137">
        <v>2009</v>
      </c>
      <c r="M2" s="137">
        <v>2010</v>
      </c>
      <c r="N2" s="137">
        <v>2011</v>
      </c>
      <c r="O2" s="137">
        <v>2012</v>
      </c>
      <c r="P2" s="137">
        <v>2013</v>
      </c>
      <c r="Q2" s="137">
        <v>2014</v>
      </c>
      <c r="R2" s="137">
        <v>2015</v>
      </c>
      <c r="S2" s="137">
        <v>2016</v>
      </c>
      <c r="T2" s="137">
        <v>2017</v>
      </c>
      <c r="U2" s="60">
        <v>2018</v>
      </c>
      <c r="V2" s="60">
        <v>2019</v>
      </c>
      <c r="W2" s="60">
        <v>2020</v>
      </c>
      <c r="X2" s="138"/>
      <c r="Y2" s="29"/>
      <c r="Z2" s="29"/>
    </row>
    <row r="3" spans="1:28" ht="15.75" x14ac:dyDescent="0.25">
      <c r="A3" s="139" t="s">
        <v>6</v>
      </c>
      <c r="B3" s="18">
        <f>AVERAGE(B8,C3)</f>
        <v>159053.5</v>
      </c>
      <c r="C3" s="18">
        <v>172497</v>
      </c>
      <c r="D3" s="19">
        <f>AVERAGE(C3,E3)</f>
        <v>198998.5</v>
      </c>
      <c r="E3" s="19">
        <v>225500</v>
      </c>
      <c r="F3" s="19">
        <v>227003</v>
      </c>
      <c r="G3" s="19">
        <v>240961</v>
      </c>
      <c r="H3" s="19">
        <v>235836</v>
      </c>
      <c r="I3" s="19">
        <v>258752</v>
      </c>
      <c r="J3" s="19">
        <v>262684</v>
      </c>
      <c r="K3" s="19">
        <v>268071</v>
      </c>
      <c r="L3" s="521">
        <v>283177</v>
      </c>
      <c r="M3" s="19">
        <v>299643</v>
      </c>
      <c r="N3" s="19">
        <v>306440</v>
      </c>
      <c r="O3" s="19">
        <v>311718</v>
      </c>
      <c r="P3" s="19">
        <v>330308</v>
      </c>
      <c r="Q3" s="19">
        <v>343576</v>
      </c>
      <c r="R3" s="19">
        <v>356843</v>
      </c>
      <c r="S3" s="19">
        <v>345443</v>
      </c>
      <c r="T3" s="19">
        <v>382867</v>
      </c>
      <c r="U3" s="187">
        <f>(T3+V3)/2</f>
        <v>395708.5</v>
      </c>
      <c r="V3" s="19">
        <v>408550</v>
      </c>
      <c r="W3" s="19">
        <v>311531</v>
      </c>
      <c r="X3" s="29"/>
      <c r="Y3" s="29"/>
      <c r="Z3" s="29"/>
      <c r="AA3" s="29"/>
      <c r="AB3" s="29"/>
    </row>
    <row r="4" spans="1:28" s="48" customFormat="1" ht="75" x14ac:dyDescent="0.25">
      <c r="A4" s="138"/>
      <c r="B4" s="138" t="s">
        <v>87</v>
      </c>
      <c r="C4" s="138"/>
      <c r="D4" s="138" t="s">
        <v>88</v>
      </c>
      <c r="E4" s="138"/>
      <c r="F4" s="138"/>
      <c r="G4" s="138"/>
      <c r="H4" s="138"/>
      <c r="I4" s="138"/>
      <c r="L4" s="522" t="s">
        <v>89</v>
      </c>
      <c r="M4" s="138"/>
      <c r="N4" s="138"/>
      <c r="O4" s="138"/>
      <c r="P4" s="138"/>
      <c r="Q4" s="138"/>
      <c r="R4" s="138"/>
      <c r="T4" s="280"/>
      <c r="U4" s="279" t="s">
        <v>90</v>
      </c>
      <c r="V4" s="138"/>
      <c r="X4" s="138"/>
      <c r="Y4" s="138"/>
      <c r="Z4" s="138"/>
    </row>
    <row r="5" spans="1:28" ht="28.9" customHeight="1" x14ac:dyDescent="0.25">
      <c r="A5" s="22" t="s">
        <v>91</v>
      </c>
      <c r="B5" s="29"/>
      <c r="C5" s="29"/>
      <c r="D5" s="29"/>
      <c r="E5" s="29"/>
      <c r="F5" s="29"/>
      <c r="G5" s="29"/>
      <c r="H5" s="29"/>
      <c r="I5" s="29"/>
      <c r="J5" s="29"/>
      <c r="K5" s="29"/>
      <c r="L5" s="29"/>
      <c r="M5" s="29"/>
      <c r="N5" s="29"/>
      <c r="O5" s="29"/>
      <c r="P5" s="29"/>
      <c r="Q5" s="29"/>
      <c r="R5" s="29"/>
      <c r="S5" s="29"/>
      <c r="T5" s="138"/>
      <c r="U5" s="138"/>
      <c r="V5" s="138"/>
      <c r="W5" s="138"/>
      <c r="X5" s="138"/>
      <c r="Y5" s="138"/>
      <c r="Z5" s="138"/>
    </row>
    <row r="6" spans="1:28" ht="43.15" customHeight="1" x14ac:dyDescent="0.25">
      <c r="A6" s="22" t="s">
        <v>92</v>
      </c>
      <c r="B6" s="29"/>
      <c r="C6" s="29"/>
      <c r="D6" s="29"/>
      <c r="E6" s="29"/>
      <c r="F6" s="29"/>
      <c r="G6" s="29"/>
      <c r="H6" s="29"/>
      <c r="I6" s="29"/>
      <c r="J6" s="29"/>
      <c r="K6" s="29"/>
      <c r="L6" s="29"/>
      <c r="M6" s="29"/>
      <c r="N6" s="29"/>
      <c r="O6" s="29"/>
      <c r="P6" s="29"/>
      <c r="Q6" s="29"/>
      <c r="R6" s="29"/>
      <c r="S6" s="29"/>
      <c r="T6" s="138"/>
      <c r="U6" s="138"/>
      <c r="V6" s="138"/>
      <c r="W6" s="138"/>
      <c r="X6" s="138"/>
      <c r="Y6" s="138"/>
      <c r="Z6" s="138"/>
    </row>
    <row r="7" spans="1:28" x14ac:dyDescent="0.25">
      <c r="B7" s="137">
        <v>1998</v>
      </c>
      <c r="T7" s="29"/>
      <c r="U7" s="29"/>
      <c r="V7" s="29"/>
      <c r="W7" s="29"/>
      <c r="X7" s="29"/>
      <c r="Y7" s="29"/>
      <c r="Z7" s="29"/>
    </row>
    <row r="8" spans="1:28" x14ac:dyDescent="0.25">
      <c r="B8" s="18">
        <v>145610</v>
      </c>
      <c r="T8" s="29"/>
      <c r="U8" s="29"/>
      <c r="V8" s="29"/>
      <c r="W8" s="29"/>
      <c r="X8" s="29"/>
      <c r="Y8" s="29"/>
      <c r="Z8" s="29"/>
    </row>
    <row r="9" spans="1:28" ht="105" x14ac:dyDescent="0.25">
      <c r="B9" s="138" t="s">
        <v>93</v>
      </c>
      <c r="T9" s="29"/>
      <c r="U9" s="29"/>
      <c r="V9" s="29"/>
      <c r="W9" s="29"/>
      <c r="X9" s="29"/>
      <c r="Y9" s="29"/>
      <c r="Z9" s="29"/>
    </row>
    <row r="10" spans="1:28" x14ac:dyDescent="0.25">
      <c r="T10" s="29"/>
      <c r="U10" s="29"/>
      <c r="V10" s="29"/>
      <c r="W10" s="29"/>
      <c r="X10" s="29"/>
      <c r="Y10" s="29"/>
      <c r="Z10" s="29"/>
    </row>
    <row r="11" spans="1:28" x14ac:dyDescent="0.25">
      <c r="T11" s="29"/>
      <c r="U11" s="29"/>
      <c r="V11" s="29"/>
      <c r="W11" s="29"/>
      <c r="X11" s="29"/>
      <c r="Y11" s="29"/>
      <c r="Z11" s="29"/>
    </row>
    <row r="12" spans="1:28" x14ac:dyDescent="0.25">
      <c r="T12" s="29"/>
      <c r="U12" s="29"/>
      <c r="V12" s="29"/>
      <c r="W12" s="29"/>
      <c r="X12" s="29"/>
      <c r="Y12" s="29"/>
      <c r="Z12" s="29"/>
    </row>
    <row r="13" spans="1:28" x14ac:dyDescent="0.25">
      <c r="T13" s="29"/>
      <c r="U13" s="29"/>
      <c r="V13" s="29"/>
      <c r="W13" s="29"/>
      <c r="X13" s="29"/>
      <c r="Y13" s="29"/>
      <c r="Z13" s="29"/>
    </row>
    <row r="14" spans="1:28" x14ac:dyDescent="0.25">
      <c r="T14" s="29"/>
      <c r="U14" s="29"/>
      <c r="V14" s="29"/>
      <c r="W14" s="29"/>
      <c r="X14" s="29"/>
      <c r="Y14" s="29"/>
      <c r="Z14" s="29"/>
    </row>
    <row r="15" spans="1:28" x14ac:dyDescent="0.25">
      <c r="T15" s="29"/>
      <c r="U15" s="29"/>
      <c r="V15" s="29"/>
      <c r="W15" s="29"/>
      <c r="X15" s="29"/>
      <c r="Y15" s="29"/>
      <c r="Z15" s="29"/>
    </row>
    <row r="16" spans="1:28" x14ac:dyDescent="0.25">
      <c r="T16" s="29"/>
      <c r="U16" s="29"/>
      <c r="V16" s="29"/>
      <c r="W16" s="29"/>
      <c r="X16" s="29"/>
      <c r="Y16" s="29"/>
      <c r="Z16" s="29"/>
    </row>
    <row r="17" spans="20:26" x14ac:dyDescent="0.25">
      <c r="T17" s="29"/>
      <c r="U17" s="29"/>
      <c r="V17" s="29"/>
      <c r="W17" s="29"/>
      <c r="X17" s="29"/>
      <c r="Y17" s="29"/>
      <c r="Z17" s="29"/>
    </row>
    <row r="18" spans="20:26" x14ac:dyDescent="0.25">
      <c r="T18" s="29"/>
      <c r="U18" s="29"/>
      <c r="V18" s="29"/>
      <c r="W18" s="29"/>
      <c r="X18" s="29"/>
      <c r="Y18" s="29"/>
      <c r="Z18" s="29"/>
    </row>
    <row r="19" spans="20:26" x14ac:dyDescent="0.25">
      <c r="T19" s="29"/>
      <c r="U19" s="29"/>
      <c r="V19" s="29"/>
      <c r="W19" s="29"/>
      <c r="X19" s="29"/>
      <c r="Y19" s="29"/>
      <c r="Z19" s="29"/>
    </row>
    <row r="20" spans="20:26" x14ac:dyDescent="0.25">
      <c r="T20" s="29"/>
      <c r="U20" s="29"/>
      <c r="V20" s="29"/>
      <c r="W20" s="29"/>
      <c r="X20" s="29"/>
      <c r="Y20" s="29"/>
      <c r="Z20" s="29"/>
    </row>
    <row r="21" spans="20:26" x14ac:dyDescent="0.25">
      <c r="T21" s="29"/>
      <c r="U21" s="29"/>
      <c r="V21" s="29"/>
      <c r="W21" s="29"/>
      <c r="X21" s="29"/>
      <c r="Y21" s="29"/>
      <c r="Z21" s="29"/>
    </row>
    <row r="22" spans="20:26" x14ac:dyDescent="0.25">
      <c r="T22" s="29"/>
      <c r="U22" s="29"/>
      <c r="V22" s="29"/>
      <c r="W22" s="29"/>
      <c r="X22" s="29"/>
      <c r="Y22" s="29"/>
      <c r="Z22" s="29"/>
    </row>
    <row r="23" spans="20:26" x14ac:dyDescent="0.25">
      <c r="T23" s="29"/>
      <c r="U23" s="29"/>
      <c r="V23" s="29"/>
      <c r="W23" s="29"/>
      <c r="X23" s="29"/>
      <c r="Y23" s="29"/>
      <c r="Z23" s="29"/>
    </row>
    <row r="24" spans="20:26" x14ac:dyDescent="0.25">
      <c r="T24" s="29"/>
      <c r="U24" s="29"/>
      <c r="V24" s="29"/>
      <c r="W24" s="29"/>
      <c r="X24" s="29"/>
      <c r="Y24" s="29"/>
      <c r="Z24" s="29"/>
    </row>
    <row r="25" spans="20:26" x14ac:dyDescent="0.25">
      <c r="T25" s="29"/>
      <c r="U25" s="29"/>
      <c r="V25" s="29"/>
      <c r="W25" s="29"/>
      <c r="X25" s="29"/>
      <c r="Y25" s="29"/>
      <c r="Z25" s="29"/>
    </row>
    <row r="26" spans="20:26" x14ac:dyDescent="0.25">
      <c r="T26" s="29"/>
      <c r="U26" s="29"/>
      <c r="V26" s="29"/>
      <c r="W26" s="29"/>
      <c r="X26" s="29"/>
      <c r="Y26" s="29"/>
      <c r="Z26" s="29"/>
    </row>
    <row r="27" spans="20:26" x14ac:dyDescent="0.25">
      <c r="T27" s="29"/>
      <c r="U27" s="29"/>
      <c r="V27" s="29"/>
      <c r="W27" s="29"/>
      <c r="X27" s="29"/>
      <c r="Y27" s="29"/>
      <c r="Z27" s="29"/>
    </row>
    <row r="28" spans="20:26" x14ac:dyDescent="0.25">
      <c r="T28" s="29"/>
      <c r="U28" s="29"/>
      <c r="V28" s="29"/>
      <c r="W28" s="29"/>
      <c r="X28" s="29"/>
      <c r="Y28" s="29"/>
      <c r="Z28" s="29"/>
    </row>
    <row r="29" spans="20:26" x14ac:dyDescent="0.25">
      <c r="T29" s="29"/>
      <c r="U29" s="29"/>
      <c r="V29" s="29"/>
      <c r="W29" s="29"/>
      <c r="X29" s="29"/>
      <c r="Y29" s="29"/>
      <c r="Z29" s="29"/>
    </row>
    <row r="30" spans="20:26" x14ac:dyDescent="0.25">
      <c r="T30" s="29"/>
      <c r="U30" s="29"/>
      <c r="V30" s="29"/>
      <c r="W30" s="29"/>
      <c r="X30" s="29"/>
      <c r="Y30" s="29"/>
      <c r="Z30" s="29"/>
    </row>
    <row r="31" spans="20:26" x14ac:dyDescent="0.25">
      <c r="T31" s="29"/>
      <c r="U31" s="29"/>
      <c r="V31" s="29"/>
      <c r="W31" s="29"/>
      <c r="X31" s="29"/>
      <c r="Y31" s="29"/>
      <c r="Z31" s="29"/>
    </row>
    <row r="32" spans="20:26" x14ac:dyDescent="0.25">
      <c r="T32" s="29"/>
      <c r="U32" s="29"/>
      <c r="V32" s="29"/>
      <c r="W32" s="29"/>
      <c r="X32" s="29"/>
      <c r="Y32" s="29"/>
      <c r="Z32" s="29"/>
    </row>
    <row r="33" spans="20:26" x14ac:dyDescent="0.25">
      <c r="T33" s="29"/>
      <c r="U33" s="29"/>
      <c r="V33" s="29"/>
      <c r="W33" s="29"/>
      <c r="X33" s="29"/>
      <c r="Y33" s="29"/>
      <c r="Z33" s="29"/>
    </row>
    <row r="34" spans="20:26" x14ac:dyDescent="0.25">
      <c r="T34" s="29"/>
      <c r="U34" s="29"/>
      <c r="V34" s="29"/>
      <c r="W34" s="29"/>
      <c r="X34" s="29"/>
      <c r="Y34" s="29"/>
      <c r="Z34" s="29"/>
    </row>
    <row r="35" spans="20:26" x14ac:dyDescent="0.25">
      <c r="T35" s="29"/>
      <c r="U35" s="29"/>
      <c r="V35" s="29"/>
      <c r="W35" s="29"/>
      <c r="X35" s="29"/>
      <c r="Y35" s="29"/>
      <c r="Z35" s="29"/>
    </row>
    <row r="36" spans="20:26" x14ac:dyDescent="0.25">
      <c r="T36" s="29"/>
      <c r="U36" s="29"/>
      <c r="V36" s="29"/>
      <c r="W36" s="29"/>
      <c r="X36" s="29"/>
      <c r="Y36" s="29"/>
      <c r="Z36" s="29"/>
    </row>
    <row r="37" spans="20:26" x14ac:dyDescent="0.25">
      <c r="T37" s="29"/>
      <c r="U37" s="29"/>
      <c r="V37" s="29"/>
      <c r="W37" s="29"/>
      <c r="X37" s="29"/>
      <c r="Y37" s="29"/>
      <c r="Z37" s="29"/>
    </row>
    <row r="38" spans="20:26" x14ac:dyDescent="0.25">
      <c r="T38" s="29"/>
      <c r="U38" s="29"/>
      <c r="V38" s="29"/>
      <c r="W38" s="29"/>
      <c r="X38" s="29"/>
      <c r="Y38" s="29"/>
      <c r="Z38" s="29"/>
    </row>
    <row r="39" spans="20:26" x14ac:dyDescent="0.25">
      <c r="T39" s="29"/>
      <c r="U39" s="29"/>
      <c r="V39" s="29"/>
      <c r="W39" s="29"/>
      <c r="X39" s="29"/>
      <c r="Y39" s="29"/>
      <c r="Z39" s="29"/>
    </row>
    <row r="40" spans="20:26" x14ac:dyDescent="0.25">
      <c r="T40" s="29"/>
      <c r="U40" s="29"/>
      <c r="V40" s="29"/>
      <c r="W40" s="29"/>
      <c r="X40" s="29"/>
      <c r="Y40" s="29"/>
      <c r="Z40" s="29"/>
    </row>
    <row r="41" spans="20:26" x14ac:dyDescent="0.25">
      <c r="T41" s="29"/>
      <c r="U41" s="29"/>
      <c r="V41" s="29"/>
      <c r="W41" s="29"/>
      <c r="X41" s="29"/>
      <c r="Y41" s="29"/>
      <c r="Z41" s="29"/>
    </row>
    <row r="42" spans="20:26" x14ac:dyDescent="0.25">
      <c r="T42" s="29"/>
      <c r="U42" s="29"/>
      <c r="V42" s="29"/>
      <c r="W42" s="29"/>
      <c r="X42" s="29"/>
      <c r="Y42" s="29"/>
      <c r="Z42" s="29"/>
    </row>
    <row r="43" spans="20:26" x14ac:dyDescent="0.25">
      <c r="T43" s="29"/>
      <c r="U43" s="29"/>
      <c r="V43" s="29"/>
      <c r="W43" s="29"/>
      <c r="X43" s="29"/>
      <c r="Y43" s="29"/>
      <c r="Z43" s="29"/>
    </row>
    <row r="44" spans="20:26" x14ac:dyDescent="0.25">
      <c r="T44" s="29"/>
      <c r="U44" s="29"/>
      <c r="V44" s="29"/>
      <c r="W44" s="29"/>
      <c r="X44" s="29"/>
      <c r="Y44" s="29"/>
      <c r="Z44" s="29"/>
    </row>
    <row r="45" spans="20:26" x14ac:dyDescent="0.25">
      <c r="T45" s="29"/>
      <c r="U45" s="29"/>
      <c r="V45" s="29"/>
      <c r="W45" s="29"/>
      <c r="X45" s="29"/>
      <c r="Y45" s="29"/>
      <c r="Z45" s="29"/>
    </row>
    <row r="46" spans="20:26" x14ac:dyDescent="0.25">
      <c r="T46" s="29"/>
      <c r="U46" s="29"/>
      <c r="V46" s="29"/>
      <c r="W46" s="29"/>
      <c r="X46" s="29"/>
      <c r="Y46" s="29"/>
      <c r="Z46" s="29"/>
    </row>
  </sheetData>
  <mergeCells count="1">
    <mergeCell ref="A1:H1"/>
  </mergeCells>
  <hyperlinks>
    <hyperlink ref="A5" r:id="rId1" xr:uid="{00000000-0004-0000-0500-000000000000}"/>
    <hyperlink ref="A6" r:id="rId2" xr:uid="{00000000-0004-0000-05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43"/>
  <sheetViews>
    <sheetView zoomScale="64" zoomScaleNormal="85" workbookViewId="0"/>
  </sheetViews>
  <sheetFormatPr defaultColWidth="8.42578125" defaultRowHeight="15" x14ac:dyDescent="0.25"/>
  <cols>
    <col min="1" max="1" width="25.42578125" customWidth="1"/>
    <col min="2" max="2" width="11.7109375" customWidth="1"/>
    <col min="3" max="3" width="18" customWidth="1"/>
    <col min="4" max="4" width="14.7109375" bestFit="1" customWidth="1"/>
    <col min="5" max="5" width="19.42578125" customWidth="1"/>
    <col min="6" max="12" width="7.28515625" bestFit="1" customWidth="1"/>
    <col min="13" max="13" width="6.85546875" bestFit="1" customWidth="1"/>
    <col min="14" max="14" width="7" bestFit="1" customWidth="1"/>
    <col min="15" max="17" width="7.7109375" bestFit="1" customWidth="1"/>
    <col min="18" max="19" width="8.140625" bestFit="1" customWidth="1"/>
    <col min="20" max="22" width="8.85546875" bestFit="1" customWidth="1"/>
    <col min="23" max="23" width="8.140625" bestFit="1" customWidth="1"/>
  </cols>
  <sheetData>
    <row r="1" spans="1:23" x14ac:dyDescent="0.25">
      <c r="B1" s="152" t="s">
        <v>94</v>
      </c>
      <c r="C1" s="152" t="s">
        <v>95</v>
      </c>
      <c r="D1" s="152" t="s">
        <v>96</v>
      </c>
      <c r="E1" s="152" t="s">
        <v>97</v>
      </c>
      <c r="F1" s="152" t="s">
        <v>98</v>
      </c>
      <c r="G1" s="152" t="s">
        <v>99</v>
      </c>
      <c r="H1" s="152" t="s">
        <v>100</v>
      </c>
      <c r="I1" s="152" t="s">
        <v>101</v>
      </c>
      <c r="J1" s="152" t="s">
        <v>102</v>
      </c>
      <c r="K1" s="152" t="s">
        <v>103</v>
      </c>
      <c r="L1" s="152" t="s">
        <v>104</v>
      </c>
      <c r="M1" s="152" t="s">
        <v>105</v>
      </c>
      <c r="N1" s="152" t="s">
        <v>106</v>
      </c>
      <c r="O1" s="152" t="s">
        <v>107</v>
      </c>
      <c r="P1" s="152" t="s">
        <v>108</v>
      </c>
      <c r="Q1" s="152" t="s">
        <v>109</v>
      </c>
      <c r="R1" s="152" t="s">
        <v>110</v>
      </c>
      <c r="S1" s="152" t="s">
        <v>111</v>
      </c>
      <c r="T1" s="152" t="s">
        <v>112</v>
      </c>
      <c r="U1" s="152" t="s">
        <v>113</v>
      </c>
      <c r="V1" s="159" t="s">
        <v>114</v>
      </c>
      <c r="W1" s="159" t="s">
        <v>115</v>
      </c>
    </row>
    <row r="2" spans="1:23" ht="31.5" x14ac:dyDescent="0.25">
      <c r="A2" s="460" t="s">
        <v>7</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20">
        <f t="shared" si="1"/>
        <v>434.77083333333331</v>
      </c>
      <c r="N2" s="20">
        <f t="shared" si="1"/>
        <v>1543.5208333333333</v>
      </c>
      <c r="O2" s="20">
        <f t="shared" si="1"/>
        <v>2990.2708333333335</v>
      </c>
      <c r="P2" s="20">
        <f t="shared" si="1"/>
        <v>4705.6875</v>
      </c>
      <c r="Q2" s="20">
        <f t="shared" si="1"/>
        <v>6685.270833333333</v>
      </c>
      <c r="R2" s="20">
        <f t="shared" si="1"/>
        <v>10849.4375</v>
      </c>
      <c r="S2" s="20">
        <f t="shared" si="1"/>
        <v>19529.104166666668</v>
      </c>
      <c r="T2" s="20">
        <f t="shared" si="1"/>
        <v>26956.604166666668</v>
      </c>
      <c r="U2" s="20">
        <f t="shared" si="1"/>
        <v>30646.604166666668</v>
      </c>
      <c r="V2" s="20">
        <f t="shared" si="1"/>
        <v>32227.1875</v>
      </c>
      <c r="W2" s="20">
        <f t="shared" si="1"/>
        <v>28917.104166666668</v>
      </c>
    </row>
    <row r="4" spans="1:23" ht="88.5" customHeight="1" x14ac:dyDescent="0.35">
      <c r="A4" s="563" t="s">
        <v>517</v>
      </c>
      <c r="B4" s="563"/>
      <c r="C4" s="563"/>
      <c r="D4" s="563"/>
      <c r="E4" s="563"/>
      <c r="F4" s="563"/>
      <c r="G4" s="563"/>
      <c r="H4" s="563"/>
    </row>
    <row r="5" spans="1:23" x14ac:dyDescent="0.25">
      <c r="A5" s="564"/>
      <c r="B5" s="564"/>
      <c r="C5" s="430"/>
      <c r="E5" s="48"/>
      <c r="F5" s="22"/>
    </row>
    <row r="6" spans="1:23" ht="75" customHeight="1" x14ac:dyDescent="0.25">
      <c r="A6" s="374" t="s">
        <v>116</v>
      </c>
      <c r="B6" s="375" t="s">
        <v>117</v>
      </c>
      <c r="C6" s="375" t="s">
        <v>516</v>
      </c>
      <c r="D6" s="375" t="s">
        <v>118</v>
      </c>
      <c r="E6" s="376" t="s">
        <v>119</v>
      </c>
      <c r="K6" s="162"/>
    </row>
    <row r="7" spans="1:23" x14ac:dyDescent="0.25">
      <c r="A7" s="377">
        <v>2002</v>
      </c>
      <c r="B7" s="378">
        <v>0</v>
      </c>
      <c r="C7" s="378"/>
      <c r="D7" s="378">
        <v>0</v>
      </c>
      <c r="E7" s="378">
        <f>0</f>
        <v>0</v>
      </c>
      <c r="K7" s="163"/>
    </row>
    <row r="8" spans="1:23" x14ac:dyDescent="0.25">
      <c r="A8" s="379">
        <v>2003</v>
      </c>
      <c r="B8" s="380">
        <v>0</v>
      </c>
      <c r="C8" s="380"/>
      <c r="D8" s="380">
        <v>0</v>
      </c>
      <c r="E8" s="380">
        <f>0</f>
        <v>0</v>
      </c>
      <c r="K8" s="164"/>
    </row>
    <row r="9" spans="1:23" x14ac:dyDescent="0.25">
      <c r="A9" s="377">
        <v>2004</v>
      </c>
      <c r="B9" s="378">
        <v>0</v>
      </c>
      <c r="C9" s="378"/>
      <c r="D9" s="378">
        <v>0</v>
      </c>
      <c r="E9" s="378">
        <f>0</f>
        <v>0</v>
      </c>
      <c r="K9" s="163"/>
    </row>
    <row r="10" spans="1:23" x14ac:dyDescent="0.25">
      <c r="A10" s="379">
        <v>2005</v>
      </c>
      <c r="B10" s="380">
        <v>0</v>
      </c>
      <c r="C10" s="380"/>
      <c r="D10" s="380">
        <v>0</v>
      </c>
      <c r="E10" s="380">
        <f>0</f>
        <v>0</v>
      </c>
      <c r="K10" s="164"/>
    </row>
    <row r="11" spans="1:23" x14ac:dyDescent="0.25">
      <c r="A11" s="377">
        <v>2006</v>
      </c>
      <c r="B11" s="378">
        <v>4081</v>
      </c>
      <c r="C11" s="378"/>
      <c r="D11" s="378">
        <v>0</v>
      </c>
      <c r="E11" s="378">
        <f>0</f>
        <v>0</v>
      </c>
      <c r="K11" s="163"/>
    </row>
    <row r="12" spans="1:23" x14ac:dyDescent="0.25">
      <c r="A12" s="379">
        <v>2007</v>
      </c>
      <c r="B12" s="380">
        <v>23767</v>
      </c>
      <c r="C12" s="380"/>
      <c r="D12" s="380">
        <v>0</v>
      </c>
      <c r="E12" s="380">
        <f>0</f>
        <v>0</v>
      </c>
      <c r="K12" s="164"/>
    </row>
    <row r="13" spans="1:23" x14ac:dyDescent="0.25">
      <c r="A13" s="377">
        <v>2008</v>
      </c>
      <c r="B13" s="378">
        <v>23555</v>
      </c>
      <c r="C13" s="378"/>
      <c r="D13" s="378">
        <v>0</v>
      </c>
      <c r="E13" s="378">
        <f>0</f>
        <v>0</v>
      </c>
      <c r="K13" s="163"/>
    </row>
    <row r="14" spans="1:23" x14ac:dyDescent="0.25">
      <c r="A14" s="379">
        <v>2009</v>
      </c>
      <c r="B14" s="380">
        <v>24029</v>
      </c>
      <c r="C14" s="380"/>
      <c r="D14" s="380">
        <v>0</v>
      </c>
      <c r="E14" s="380">
        <v>0</v>
      </c>
      <c r="K14" s="164"/>
    </row>
    <row r="15" spans="1:23" x14ac:dyDescent="0.25">
      <c r="A15" s="377">
        <v>2010</v>
      </c>
      <c r="B15" s="378">
        <v>30740</v>
      </c>
      <c r="C15" s="378">
        <f>AVERAGE(B12:B15)</f>
        <v>25522.75</v>
      </c>
      <c r="D15" s="378">
        <f t="shared" ref="D15:D25" si="2">B15-$C$15</f>
        <v>5217.25</v>
      </c>
      <c r="E15" s="378">
        <f t="shared" ref="E15:E25" si="3">D15/12</f>
        <v>434.77083333333331</v>
      </c>
      <c r="K15" s="163"/>
    </row>
    <row r="16" spans="1:23" x14ac:dyDescent="0.25">
      <c r="A16" s="379">
        <v>2011</v>
      </c>
      <c r="B16" s="381">
        <v>44045</v>
      </c>
      <c r="C16" s="381"/>
      <c r="D16" s="381">
        <f t="shared" si="2"/>
        <v>18522.25</v>
      </c>
      <c r="E16" s="381">
        <f t="shared" si="3"/>
        <v>1543.5208333333333</v>
      </c>
      <c r="K16" s="165"/>
    </row>
    <row r="17" spans="1:23" x14ac:dyDescent="0.25">
      <c r="A17" s="377">
        <v>2012</v>
      </c>
      <c r="B17" s="378">
        <v>61406</v>
      </c>
      <c r="C17" s="378"/>
      <c r="D17" s="378">
        <f t="shared" si="2"/>
        <v>35883.25</v>
      </c>
      <c r="E17" s="378">
        <f t="shared" si="3"/>
        <v>2990.2708333333335</v>
      </c>
      <c r="K17" s="163"/>
    </row>
    <row r="18" spans="1:23" x14ac:dyDescent="0.25">
      <c r="A18" s="379">
        <v>2013</v>
      </c>
      <c r="B18" s="381">
        <v>81991</v>
      </c>
      <c r="C18" s="381"/>
      <c r="D18" s="381">
        <f t="shared" si="2"/>
        <v>56468.25</v>
      </c>
      <c r="E18" s="381">
        <f t="shared" si="3"/>
        <v>4705.6875</v>
      </c>
      <c r="K18" s="165"/>
    </row>
    <row r="19" spans="1:23" x14ac:dyDescent="0.25">
      <c r="A19" s="377">
        <v>2014</v>
      </c>
      <c r="B19" s="378">
        <v>105746</v>
      </c>
      <c r="C19" s="378"/>
      <c r="D19" s="378">
        <f t="shared" si="2"/>
        <v>80223.25</v>
      </c>
      <c r="E19" s="378">
        <f t="shared" si="3"/>
        <v>6685.270833333333</v>
      </c>
      <c r="K19" s="163"/>
    </row>
    <row r="20" spans="1:23" x14ac:dyDescent="0.25">
      <c r="A20" s="379">
        <v>2015</v>
      </c>
      <c r="B20" s="381">
        <v>155716</v>
      </c>
      <c r="C20" s="381"/>
      <c r="D20" s="381">
        <f t="shared" si="2"/>
        <v>130193.25</v>
      </c>
      <c r="E20" s="381">
        <f t="shared" si="3"/>
        <v>10849.4375</v>
      </c>
      <c r="K20" s="165"/>
    </row>
    <row r="21" spans="1:23" x14ac:dyDescent="0.25">
      <c r="A21" s="377">
        <v>2016</v>
      </c>
      <c r="B21" s="378">
        <v>259872</v>
      </c>
      <c r="C21" s="378"/>
      <c r="D21" s="378">
        <f t="shared" si="2"/>
        <v>234349.25</v>
      </c>
      <c r="E21" s="378">
        <f t="shared" si="3"/>
        <v>19529.104166666668</v>
      </c>
      <c r="K21" s="163"/>
    </row>
    <row r="22" spans="1:23" x14ac:dyDescent="0.25">
      <c r="A22" s="379">
        <v>2017</v>
      </c>
      <c r="B22" s="381">
        <v>349002</v>
      </c>
      <c r="C22" s="381"/>
      <c r="D22" s="381">
        <f t="shared" si="2"/>
        <v>323479.25</v>
      </c>
      <c r="E22" s="381">
        <f t="shared" si="3"/>
        <v>26956.604166666668</v>
      </c>
      <c r="K22" s="165"/>
    </row>
    <row r="23" spans="1:23" x14ac:dyDescent="0.25">
      <c r="A23" s="377">
        <v>2018</v>
      </c>
      <c r="B23" s="378">
        <v>393282</v>
      </c>
      <c r="C23" s="378"/>
      <c r="D23" s="378">
        <f t="shared" si="2"/>
        <v>367759.25</v>
      </c>
      <c r="E23" s="378">
        <f t="shared" si="3"/>
        <v>30646.604166666668</v>
      </c>
      <c r="K23" s="163"/>
    </row>
    <row r="24" spans="1:23" x14ac:dyDescent="0.25">
      <c r="A24" s="379">
        <v>2019</v>
      </c>
      <c r="B24" s="381">
        <v>412249</v>
      </c>
      <c r="C24" s="381"/>
      <c r="D24" s="381">
        <f t="shared" si="2"/>
        <v>386726.25</v>
      </c>
      <c r="E24" s="381">
        <f t="shared" si="3"/>
        <v>32227.1875</v>
      </c>
      <c r="K24" s="165"/>
    </row>
    <row r="25" spans="1:23" x14ac:dyDescent="0.25">
      <c r="A25" s="363">
        <v>2020</v>
      </c>
      <c r="B25" s="378">
        <v>372528</v>
      </c>
      <c r="D25" s="378">
        <f t="shared" si="2"/>
        <v>347005.25</v>
      </c>
      <c r="E25" s="378">
        <f t="shared" si="3"/>
        <v>28917.104166666668</v>
      </c>
    </row>
    <row r="26" spans="1:23" x14ac:dyDescent="0.25">
      <c r="A26" s="1"/>
    </row>
    <row r="28" spans="1:23" x14ac:dyDescent="0.25">
      <c r="A28" s="327"/>
      <c r="B28" s="327" t="s">
        <v>94</v>
      </c>
      <c r="C28" s="327" t="s">
        <v>95</v>
      </c>
      <c r="D28" s="327" t="s">
        <v>96</v>
      </c>
      <c r="E28" s="327" t="s">
        <v>97</v>
      </c>
      <c r="F28" s="327" t="s">
        <v>98</v>
      </c>
      <c r="G28" s="327" t="s">
        <v>99</v>
      </c>
      <c r="H28" s="327" t="s">
        <v>100</v>
      </c>
      <c r="I28" s="327" t="s">
        <v>101</v>
      </c>
      <c r="J28" s="327" t="s">
        <v>102</v>
      </c>
      <c r="K28" s="327" t="s">
        <v>103</v>
      </c>
      <c r="L28" s="327" t="s">
        <v>104</v>
      </c>
      <c r="M28" s="327" t="s">
        <v>105</v>
      </c>
      <c r="N28" s="327" t="s">
        <v>106</v>
      </c>
      <c r="O28" s="327" t="s">
        <v>107</v>
      </c>
      <c r="P28" s="327" t="s">
        <v>108</v>
      </c>
      <c r="Q28" s="327" t="s">
        <v>109</v>
      </c>
      <c r="R28" s="327" t="s">
        <v>110</v>
      </c>
      <c r="S28" s="327" t="s">
        <v>111</v>
      </c>
      <c r="T28" s="327" t="s">
        <v>112</v>
      </c>
      <c r="U28" s="327" t="s">
        <v>113</v>
      </c>
      <c r="V28" s="327" t="s">
        <v>114</v>
      </c>
      <c r="W28" s="1" t="s">
        <v>115</v>
      </c>
    </row>
    <row r="29" spans="1:23" ht="31.5" x14ac:dyDescent="0.25">
      <c r="A29" s="461" t="s">
        <v>7</v>
      </c>
      <c r="B29" s="328">
        <v>0</v>
      </c>
      <c r="C29" s="328">
        <v>0</v>
      </c>
      <c r="D29" s="328">
        <v>0</v>
      </c>
      <c r="E29" s="328">
        <v>0</v>
      </c>
      <c r="F29" s="328">
        <v>0</v>
      </c>
      <c r="G29" s="328">
        <v>0</v>
      </c>
      <c r="H29" s="328">
        <v>0</v>
      </c>
      <c r="I29" s="328">
        <v>0</v>
      </c>
      <c r="J29" s="328">
        <v>0</v>
      </c>
      <c r="K29" s="328">
        <v>0</v>
      </c>
      <c r="L29" s="328">
        <v>0</v>
      </c>
      <c r="M29" s="329">
        <f>$E15</f>
        <v>434.77083333333331</v>
      </c>
      <c r="N29" s="329">
        <f>$E16</f>
        <v>1543.5208333333333</v>
      </c>
      <c r="O29" s="329">
        <f>$E17</f>
        <v>2990.2708333333335</v>
      </c>
      <c r="P29" s="329">
        <f>$E18</f>
        <v>4705.6875</v>
      </c>
      <c r="Q29" s="329">
        <f>$E19</f>
        <v>6685.270833333333</v>
      </c>
      <c r="R29" s="329">
        <f>$E20</f>
        <v>10849.4375</v>
      </c>
      <c r="S29" s="329">
        <f>$E21</f>
        <v>19529.104166666668</v>
      </c>
      <c r="T29" s="329">
        <f>$E22</f>
        <v>26956.604166666668</v>
      </c>
      <c r="U29" s="329">
        <f>$E23</f>
        <v>30646.604166666668</v>
      </c>
      <c r="V29" s="330">
        <f>$E24</f>
        <v>32227.1875</v>
      </c>
      <c r="W29" s="330">
        <f>$E25</f>
        <v>28917.104166666668</v>
      </c>
    </row>
    <row r="30" spans="1:23" x14ac:dyDescent="0.25">
      <c r="A30" s="47"/>
      <c r="B30" s="46"/>
      <c r="C30" s="46"/>
      <c r="D30" s="46"/>
      <c r="E30" s="46"/>
      <c r="F30" s="46"/>
      <c r="G30" s="46"/>
      <c r="H30" s="46"/>
      <c r="I30" s="46"/>
      <c r="J30" s="46"/>
      <c r="K30" s="46"/>
      <c r="L30" s="46"/>
      <c r="M30" s="46"/>
      <c r="N30" s="46"/>
      <c r="O30" s="46"/>
      <c r="P30" s="46"/>
      <c r="Q30" s="46"/>
      <c r="R30" s="46"/>
    </row>
    <row r="31" spans="1:23" ht="25.9" customHeight="1" x14ac:dyDescent="0.25">
      <c r="A31" s="1" t="s">
        <v>120</v>
      </c>
      <c r="B31" s="1"/>
      <c r="C31" s="1"/>
      <c r="D31" s="1"/>
      <c r="E31" s="1"/>
      <c r="F31" s="1"/>
      <c r="G31" s="1"/>
      <c r="H31" s="1"/>
      <c r="I31" s="1"/>
      <c r="J31" s="1"/>
      <c r="K31" s="1"/>
      <c r="L31" s="1"/>
      <c r="M31" s="1"/>
      <c r="N31" s="1"/>
      <c r="O31" s="1"/>
      <c r="P31" s="1"/>
      <c r="Q31" s="1"/>
      <c r="R31" s="1"/>
    </row>
    <row r="32" spans="1:23" x14ac:dyDescent="0.25">
      <c r="A32" s="1" t="s">
        <v>121</v>
      </c>
      <c r="B32" s="1"/>
      <c r="C32" s="1"/>
      <c r="D32" s="1"/>
      <c r="E32" s="1"/>
      <c r="F32" s="1"/>
      <c r="G32" s="1"/>
      <c r="H32" s="1"/>
      <c r="I32" s="1"/>
      <c r="J32" s="1"/>
      <c r="K32" s="1"/>
      <c r="L32" s="1"/>
      <c r="M32" s="1"/>
      <c r="N32" s="1"/>
      <c r="O32" s="1"/>
      <c r="P32" s="1"/>
      <c r="Q32" s="1"/>
      <c r="R32" s="1"/>
    </row>
    <row r="33" spans="1:18" x14ac:dyDescent="0.25">
      <c r="A33" s="1" t="s">
        <v>122</v>
      </c>
      <c r="B33" s="1"/>
      <c r="C33" s="1"/>
      <c r="D33" s="1"/>
      <c r="E33" s="1"/>
      <c r="F33" s="1"/>
      <c r="G33" s="1"/>
      <c r="H33" s="1"/>
      <c r="I33" s="1"/>
      <c r="J33" s="1"/>
      <c r="K33" s="1"/>
      <c r="L33" s="1"/>
      <c r="M33" s="1"/>
      <c r="N33" s="1"/>
      <c r="O33" s="1"/>
      <c r="P33" s="1"/>
      <c r="Q33" s="1"/>
      <c r="R33" s="1"/>
    </row>
    <row r="34" spans="1:18" x14ac:dyDescent="0.25">
      <c r="A34" s="1" t="s">
        <v>123</v>
      </c>
      <c r="B34" s="1"/>
      <c r="C34" s="1"/>
      <c r="D34" s="1"/>
      <c r="E34" s="1"/>
      <c r="F34" s="1"/>
      <c r="G34" s="1"/>
      <c r="H34" s="1"/>
      <c r="I34" s="1"/>
      <c r="J34" s="1"/>
      <c r="K34" s="1"/>
      <c r="L34" s="1"/>
      <c r="M34" s="1"/>
      <c r="N34" s="1"/>
      <c r="O34" s="1"/>
      <c r="P34" s="1"/>
      <c r="Q34" s="1"/>
      <c r="R34" s="1"/>
    </row>
    <row r="38" spans="1:18" x14ac:dyDescent="0.25">
      <c r="A38" s="565"/>
      <c r="B38" s="565"/>
      <c r="C38" s="565"/>
    </row>
    <row r="41" spans="1:18" ht="15.4" customHeight="1" x14ac:dyDescent="0.25"/>
    <row r="43" spans="1:18" ht="40.5" customHeight="1" x14ac:dyDescent="0.25"/>
  </sheetData>
  <mergeCells count="3">
    <mergeCell ref="A4:H4"/>
    <mergeCell ref="A5:B5"/>
    <mergeCell ref="A38:C38"/>
  </mergeCells>
  <phoneticPr fontId="39" type="noConversion"/>
  <pageMargins left="0.7" right="0.7" top="0.75" bottom="0.75" header="0.3" footer="0.3"/>
  <pageSetup orientation="portrait" r:id="rId1"/>
  <ignoredErrors>
    <ignoredError sqref="B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38"/>
  <sheetViews>
    <sheetView zoomScale="85" zoomScaleNormal="85" workbookViewId="0">
      <selection sqref="A1:R4"/>
    </sheetView>
  </sheetViews>
  <sheetFormatPr defaultColWidth="8.7109375" defaultRowHeight="15" x14ac:dyDescent="0.25"/>
  <cols>
    <col min="1" max="1" width="26.42578125" style="38" customWidth="1"/>
    <col min="2" max="3" width="17.28515625" style="38" customWidth="1"/>
    <col min="4" max="4" width="25.7109375" style="38" customWidth="1"/>
    <col min="5" max="8" width="17.28515625" style="38" customWidth="1"/>
    <col min="9" max="16" width="17.28515625" customWidth="1"/>
    <col min="17" max="32" width="17.28515625" style="38" customWidth="1"/>
    <col min="33" max="34" width="6.7109375" style="38" bestFit="1" customWidth="1"/>
    <col min="35" max="37" width="7.7109375" style="38" bestFit="1" customWidth="1"/>
    <col min="38" max="38" width="8.42578125" style="38" bestFit="1" customWidth="1"/>
    <col min="39" max="39" width="7.7109375" style="38" bestFit="1" customWidth="1"/>
    <col min="40" max="41" width="8.7109375" style="38" bestFit="1" customWidth="1"/>
    <col min="42" max="42" width="13.42578125" style="38" customWidth="1"/>
    <col min="43" max="53" width="10.7109375" style="38" bestFit="1" customWidth="1"/>
    <col min="54" max="16384" width="8.7109375" style="38"/>
  </cols>
  <sheetData>
    <row r="1" spans="1:56" ht="14.65" customHeight="1" x14ac:dyDescent="0.25">
      <c r="A1" s="567" t="s">
        <v>124</v>
      </c>
      <c r="B1" s="568"/>
      <c r="C1" s="568"/>
      <c r="D1" s="568"/>
      <c r="E1" s="568"/>
      <c r="F1" s="568"/>
      <c r="G1" s="568"/>
      <c r="H1" s="568"/>
      <c r="I1" s="568"/>
      <c r="J1" s="568"/>
      <c r="K1" s="568"/>
      <c r="L1" s="568"/>
      <c r="M1" s="568"/>
      <c r="N1" s="568"/>
      <c r="O1" s="568"/>
      <c r="P1" s="568"/>
      <c r="Q1" s="568"/>
      <c r="R1" s="568"/>
      <c r="U1" s="101">
        <v>1999</v>
      </c>
      <c r="V1" s="101">
        <v>2000</v>
      </c>
      <c r="W1" s="10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01">
        <v>2019</v>
      </c>
      <c r="AP1" s="101">
        <v>2020</v>
      </c>
      <c r="AQ1" s="101"/>
      <c r="AR1" s="101"/>
      <c r="AS1" s="101"/>
      <c r="AT1" s="101"/>
      <c r="AU1" s="101"/>
      <c r="AV1" s="101"/>
      <c r="AW1" s="101"/>
      <c r="AX1" s="101"/>
      <c r="AY1" s="101"/>
      <c r="AZ1" s="101"/>
      <c r="BA1" s="101"/>
      <c r="BB1" s="101"/>
      <c r="BC1" s="101"/>
      <c r="BD1" s="101"/>
    </row>
    <row r="2" spans="1:56" ht="14.65" customHeight="1" x14ac:dyDescent="0.25">
      <c r="A2" s="567"/>
      <c r="B2" s="568"/>
      <c r="C2" s="568"/>
      <c r="D2" s="568"/>
      <c r="E2" s="568"/>
      <c r="F2" s="568"/>
      <c r="G2" s="568"/>
      <c r="H2" s="568"/>
      <c r="I2" s="568"/>
      <c r="J2" s="568"/>
      <c r="K2" s="568"/>
      <c r="L2" s="568"/>
      <c r="M2" s="568"/>
      <c r="N2" s="568"/>
      <c r="O2" s="568"/>
      <c r="P2" s="568"/>
      <c r="Q2" s="568"/>
      <c r="R2" s="568"/>
      <c r="T2" s="77" t="s">
        <v>125</v>
      </c>
      <c r="U2" s="150">
        <f>R7</f>
        <v>1103.5</v>
      </c>
      <c r="V2" s="150">
        <f>R8</f>
        <v>3310.5</v>
      </c>
      <c r="W2" s="150">
        <f>R9</f>
        <v>4414</v>
      </c>
      <c r="X2" s="150">
        <f>R10</f>
        <v>5517.5</v>
      </c>
      <c r="Y2" s="150">
        <f>R11</f>
        <v>9350.5</v>
      </c>
      <c r="Z2" s="150">
        <f>R12</f>
        <v>13113.5</v>
      </c>
      <c r="AA2" s="151">
        <f>R13</f>
        <v>14940.499999999998</v>
      </c>
      <c r="AB2" s="150">
        <f>R14</f>
        <v>24726.499999999996</v>
      </c>
      <c r="AC2" s="150">
        <f>R15</f>
        <v>26676.499999999996</v>
      </c>
      <c r="AD2" s="150">
        <f>R16</f>
        <v>35490.999999999993</v>
      </c>
      <c r="AE2" s="150">
        <f>R17</f>
        <v>39442</v>
      </c>
      <c r="AF2" s="150">
        <f>R18</f>
        <v>47435</v>
      </c>
      <c r="AG2" s="150">
        <f>R19</f>
        <v>49586</v>
      </c>
      <c r="AH2" s="150">
        <f>R20</f>
        <v>69053</v>
      </c>
      <c r="AI2" s="150">
        <f>R21</f>
        <v>141502</v>
      </c>
      <c r="AJ2" s="150">
        <f>R22</f>
        <v>211278.68817204301</v>
      </c>
      <c r="AK2" s="150">
        <f>R23</f>
        <v>325817.17840212741</v>
      </c>
      <c r="AL2" s="150">
        <f>R24</f>
        <v>573797.06734074547</v>
      </c>
      <c r="AM2" s="150">
        <f>R25</f>
        <v>916335.75439076754</v>
      </c>
      <c r="AN2" s="150">
        <f>R26</f>
        <v>1500485.9526574665</v>
      </c>
      <c r="AO2" s="151">
        <f>R27</f>
        <v>1931149</v>
      </c>
      <c r="AP2" s="151">
        <f>R28</f>
        <v>2303624</v>
      </c>
      <c r="AQ2" s="245"/>
      <c r="AR2" s="245"/>
      <c r="AS2" s="245"/>
      <c r="AT2" s="245"/>
      <c r="AU2" s="245"/>
      <c r="AV2" s="245"/>
      <c r="AW2" s="245"/>
      <c r="AX2" s="245"/>
      <c r="AY2" s="245"/>
      <c r="AZ2" s="245"/>
      <c r="BA2" s="245"/>
    </row>
    <row r="3" spans="1:56" ht="40.15" customHeight="1" x14ac:dyDescent="0.25">
      <c r="A3" s="567"/>
      <c r="B3" s="568"/>
      <c r="C3" s="568"/>
      <c r="D3" s="568"/>
      <c r="E3" s="568"/>
      <c r="F3" s="568"/>
      <c r="G3" s="568"/>
      <c r="H3" s="568"/>
      <c r="I3" s="568"/>
      <c r="J3" s="568"/>
      <c r="K3" s="568"/>
      <c r="L3" s="568"/>
      <c r="M3" s="568"/>
      <c r="N3" s="568"/>
      <c r="O3" s="568"/>
      <c r="P3" s="568"/>
      <c r="Q3" s="568"/>
      <c r="R3" s="568"/>
      <c r="X3" s="203"/>
      <c r="Y3" s="207"/>
      <c r="Z3" s="206"/>
      <c r="AA3" s="207"/>
      <c r="AB3" s="207"/>
      <c r="AC3" s="207"/>
      <c r="AD3" s="207"/>
      <c r="AE3" s="207"/>
      <c r="AF3" s="207"/>
      <c r="AG3" s="207"/>
      <c r="AH3" s="203"/>
      <c r="AI3" s="207"/>
      <c r="AJ3" s="207"/>
      <c r="AK3" s="207"/>
      <c r="AL3" s="203"/>
      <c r="AM3" s="207"/>
      <c r="AN3" s="207"/>
      <c r="AO3" s="207"/>
    </row>
    <row r="4" spans="1:56" ht="45.4" customHeight="1" thickBot="1" x14ac:dyDescent="0.3">
      <c r="A4" s="567"/>
      <c r="B4" s="568"/>
      <c r="C4" s="568"/>
      <c r="D4" s="568"/>
      <c r="E4" s="568"/>
      <c r="F4" s="568"/>
      <c r="G4" s="568"/>
      <c r="H4" s="568"/>
      <c r="I4" s="568"/>
      <c r="J4" s="568"/>
      <c r="K4" s="568"/>
      <c r="L4" s="568"/>
      <c r="M4" s="568"/>
      <c r="N4" s="568"/>
      <c r="O4" s="568"/>
      <c r="P4" s="568"/>
      <c r="Q4" s="568"/>
      <c r="R4" s="568"/>
      <c r="X4" s="203"/>
      <c r="Y4" s="186"/>
      <c r="Z4" s="186"/>
      <c r="AA4" s="186"/>
      <c r="AB4" s="186"/>
      <c r="AC4" s="186"/>
      <c r="AD4" s="186"/>
      <c r="AE4" s="186"/>
      <c r="AF4" s="185"/>
      <c r="AG4" s="186"/>
      <c r="AH4" s="186"/>
      <c r="AI4" s="186"/>
      <c r="AJ4" s="185"/>
      <c r="AK4" s="186"/>
      <c r="AL4" s="186"/>
      <c r="AM4" s="186"/>
      <c r="AN4" s="186"/>
      <c r="AO4" s="186"/>
      <c r="AP4" s="185"/>
    </row>
    <row r="5" spans="1:56" x14ac:dyDescent="0.25">
      <c r="A5" s="90"/>
      <c r="B5" s="569" t="s">
        <v>126</v>
      </c>
      <c r="C5" s="569"/>
      <c r="D5" s="569"/>
      <c r="E5" s="569"/>
      <c r="F5" s="569"/>
      <c r="G5" s="569"/>
      <c r="H5" s="569"/>
      <c r="I5" s="570" t="s">
        <v>127</v>
      </c>
      <c r="J5" s="570"/>
      <c r="K5" s="570"/>
      <c r="L5" s="570"/>
      <c r="M5" s="570" t="s">
        <v>128</v>
      </c>
      <c r="N5" s="570"/>
      <c r="O5" s="570"/>
      <c r="P5" s="570"/>
      <c r="Q5" s="431" t="s">
        <v>129</v>
      </c>
      <c r="R5" s="405" t="s">
        <v>130</v>
      </c>
      <c r="X5" s="204"/>
      <c r="Y5" s="1"/>
      <c r="Z5" s="1"/>
      <c r="AA5" s="1"/>
      <c r="AB5" s="1"/>
      <c r="AC5" s="1"/>
      <c r="AD5" s="1"/>
      <c r="AE5" s="1"/>
      <c r="AF5" s="1"/>
      <c r="AG5" s="1"/>
      <c r="AH5" s="1"/>
      <c r="AI5" s="1"/>
      <c r="AJ5" s="1"/>
      <c r="AK5" s="1"/>
      <c r="AL5" s="1"/>
      <c r="AM5" s="1"/>
      <c r="AN5" s="1"/>
    </row>
    <row r="6" spans="1:56" ht="75" x14ac:dyDescent="0.25">
      <c r="A6" s="419" t="s">
        <v>131</v>
      </c>
      <c r="B6" s="407" t="s">
        <v>132</v>
      </c>
      <c r="C6" s="407" t="s">
        <v>133</v>
      </c>
      <c r="D6" s="408" t="s">
        <v>25</v>
      </c>
      <c r="E6" s="407" t="s">
        <v>134</v>
      </c>
      <c r="F6" s="407" t="s">
        <v>25</v>
      </c>
      <c r="G6" s="407" t="s">
        <v>135</v>
      </c>
      <c r="H6" s="407" t="s">
        <v>136</v>
      </c>
      <c r="I6" s="409" t="s">
        <v>137</v>
      </c>
      <c r="J6" s="409" t="s">
        <v>138</v>
      </c>
      <c r="K6" s="409" t="s">
        <v>139</v>
      </c>
      <c r="L6" s="409" t="s">
        <v>140</v>
      </c>
      <c r="M6" s="409" t="s">
        <v>137</v>
      </c>
      <c r="N6" s="409" t="s">
        <v>138</v>
      </c>
      <c r="O6" s="409" t="s">
        <v>139</v>
      </c>
      <c r="P6" s="409" t="s">
        <v>140</v>
      </c>
      <c r="Q6" s="409" t="s">
        <v>141</v>
      </c>
      <c r="R6" s="420" t="s">
        <v>125</v>
      </c>
      <c r="S6" s="430"/>
      <c r="T6" s="430"/>
      <c r="U6" s="430"/>
      <c r="V6" s="430"/>
      <c r="W6" s="430"/>
      <c r="X6" s="209"/>
      <c r="Y6" s="430"/>
      <c r="Z6" s="142"/>
      <c r="AA6" s="142"/>
      <c r="AB6" s="142"/>
      <c r="AC6" s="142"/>
      <c r="AD6" s="142"/>
      <c r="AE6" s="142"/>
      <c r="AF6" s="142"/>
      <c r="AG6" s="142"/>
      <c r="AH6" s="142"/>
      <c r="AI6" s="142"/>
      <c r="AJ6" s="142"/>
      <c r="AK6" s="142"/>
      <c r="AL6" s="142"/>
      <c r="AM6" s="142"/>
      <c r="AN6" s="142"/>
      <c r="AO6" s="150"/>
    </row>
    <row r="7" spans="1:56" x14ac:dyDescent="0.25">
      <c r="A7" s="313">
        <v>1999</v>
      </c>
      <c r="B7" s="407"/>
      <c r="C7" s="314">
        <f>C17/E17*E7</f>
        <v>971.5</v>
      </c>
      <c r="D7" s="408"/>
      <c r="E7" s="410">
        <v>1</v>
      </c>
      <c r="F7" s="571" t="s">
        <v>142</v>
      </c>
      <c r="G7" s="411">
        <v>0</v>
      </c>
      <c r="H7" s="412">
        <v>0</v>
      </c>
      <c r="I7" s="18"/>
      <c r="J7" s="18"/>
      <c r="K7" s="18"/>
      <c r="L7" s="18"/>
      <c r="M7" s="18"/>
      <c r="N7" s="18"/>
      <c r="O7" s="18"/>
      <c r="P7" s="18"/>
      <c r="Q7" s="18">
        <f t="shared" ref="Q7:Q8" si="0">(Q8/C8)*C7</f>
        <v>132</v>
      </c>
      <c r="R7" s="315">
        <f t="shared" ref="R7:R9" si="1">SUM(C7,Q7)</f>
        <v>1103.5</v>
      </c>
      <c r="S7" s="430"/>
      <c r="T7" s="430"/>
      <c r="U7" s="430"/>
      <c r="V7" s="430"/>
      <c r="W7" s="430"/>
      <c r="X7" s="209"/>
      <c r="Y7" s="430"/>
      <c r="Z7" s="142"/>
      <c r="AA7" s="142"/>
      <c r="AB7" s="142"/>
      <c r="AC7" s="142"/>
      <c r="AD7" s="142"/>
      <c r="AE7" s="142"/>
      <c r="AF7" s="142"/>
      <c r="AG7" s="142"/>
      <c r="AH7" s="142"/>
      <c r="AI7" s="142"/>
      <c r="AJ7" s="142"/>
      <c r="AK7" s="142"/>
      <c r="AL7" s="142"/>
      <c r="AM7" s="142"/>
      <c r="AN7" s="142"/>
      <c r="AO7" s="150"/>
    </row>
    <row r="8" spans="1:56" x14ac:dyDescent="0.25">
      <c r="A8" s="145">
        <v>2000</v>
      </c>
      <c r="B8" s="146"/>
      <c r="C8" s="314">
        <f>C7*H8</f>
        <v>2914.5</v>
      </c>
      <c r="D8" s="93"/>
      <c r="E8" s="413">
        <v>3</v>
      </c>
      <c r="F8" s="571"/>
      <c r="G8" s="411">
        <f t="shared" ref="G8" si="2">E8-E7</f>
        <v>2</v>
      </c>
      <c r="H8" s="412">
        <f t="shared" ref="H8:H9" si="3">E8/E7</f>
        <v>3</v>
      </c>
      <c r="I8" s="18"/>
      <c r="J8" s="18"/>
      <c r="K8" s="18"/>
      <c r="L8" s="18"/>
      <c r="M8" s="18"/>
      <c r="N8" s="18"/>
      <c r="O8" s="18"/>
      <c r="P8" s="18"/>
      <c r="Q8" s="18">
        <f t="shared" si="0"/>
        <v>396</v>
      </c>
      <c r="R8" s="315">
        <f t="shared" si="1"/>
        <v>3310.5</v>
      </c>
      <c r="X8" s="205"/>
      <c r="Z8" s="143"/>
      <c r="AA8" s="143"/>
      <c r="AB8" s="143"/>
      <c r="AC8" s="143"/>
      <c r="AD8" s="143"/>
      <c r="AE8" s="143"/>
      <c r="AF8" s="143"/>
      <c r="AG8" s="143"/>
      <c r="AH8" s="143"/>
      <c r="AI8" s="143"/>
      <c r="AJ8" s="143"/>
      <c r="AK8" s="143"/>
      <c r="AL8" s="143"/>
      <c r="AM8" s="143"/>
      <c r="AN8" s="143"/>
      <c r="AO8" s="91"/>
    </row>
    <row r="9" spans="1:56" x14ac:dyDescent="0.25">
      <c r="A9" s="145">
        <v>2001</v>
      </c>
      <c r="B9" s="93"/>
      <c r="C9" s="314">
        <f>C8*H9</f>
        <v>3886</v>
      </c>
      <c r="D9" s="93"/>
      <c r="E9" s="414">
        <v>4</v>
      </c>
      <c r="F9" s="571"/>
      <c r="G9" s="411">
        <f t="shared" ref="G9:G22" si="4">E9-E8</f>
        <v>1</v>
      </c>
      <c r="H9" s="412">
        <f t="shared" si="3"/>
        <v>1.3333333333333333</v>
      </c>
      <c r="I9" s="18"/>
      <c r="J9" s="18"/>
      <c r="K9" s="18"/>
      <c r="L9" s="18"/>
      <c r="M9" s="18"/>
      <c r="N9" s="18"/>
      <c r="O9" s="18"/>
      <c r="P9" s="18"/>
      <c r="Q9" s="18">
        <f>(Q10/C10)*C9</f>
        <v>528</v>
      </c>
      <c r="R9" s="315">
        <f t="shared" si="1"/>
        <v>4414</v>
      </c>
      <c r="X9" s="205"/>
      <c r="Z9" s="144"/>
      <c r="AA9" s="144"/>
      <c r="AB9" s="144"/>
      <c r="AC9" s="144"/>
      <c r="AD9" s="144"/>
      <c r="AE9" s="144"/>
      <c r="AF9" s="144"/>
      <c r="AG9" s="144"/>
      <c r="AH9" s="144"/>
      <c r="AI9" s="144"/>
      <c r="AJ9" s="144"/>
      <c r="AK9" s="144"/>
      <c r="AL9" s="144"/>
      <c r="AM9" s="144"/>
      <c r="AN9" s="144"/>
      <c r="AO9" s="92"/>
    </row>
    <row r="10" spans="1:56" x14ac:dyDescent="0.25">
      <c r="A10" s="147">
        <v>2002</v>
      </c>
      <c r="B10" s="94"/>
      <c r="C10" s="415">
        <f t="shared" ref="C10:C16" si="5">C9*H10</f>
        <v>4857.5</v>
      </c>
      <c r="E10" s="416">
        <v>5</v>
      </c>
      <c r="F10" s="571"/>
      <c r="G10" s="417">
        <f t="shared" si="4"/>
        <v>1</v>
      </c>
      <c r="H10" s="412">
        <f>E10/E9</f>
        <v>1.25</v>
      </c>
      <c r="I10" s="18">
        <v>0</v>
      </c>
      <c r="J10" s="18">
        <v>0</v>
      </c>
      <c r="K10" s="18">
        <v>67</v>
      </c>
      <c r="L10" s="18">
        <v>573</v>
      </c>
      <c r="M10" s="18">
        <v>0</v>
      </c>
      <c r="N10" s="18">
        <v>0</v>
      </c>
      <c r="O10" s="18">
        <v>0</v>
      </c>
      <c r="P10" s="18">
        <v>20</v>
      </c>
      <c r="Q10" s="18">
        <f>SUM(I10:P10)</f>
        <v>660</v>
      </c>
      <c r="R10" s="315">
        <f t="shared" ref="R10:R26" si="6">SUM(C10,Q10)</f>
        <v>5517.5</v>
      </c>
      <c r="S10" s="208"/>
      <c r="T10"/>
      <c r="U10"/>
      <c r="V10"/>
      <c r="W10"/>
      <c r="X10" s="205"/>
      <c r="Y10"/>
      <c r="Z10" s="20"/>
      <c r="AA10" s="20"/>
      <c r="AB10" s="20"/>
      <c r="AC10" s="20"/>
      <c r="AD10" s="20"/>
      <c r="AE10" s="20"/>
      <c r="AF10" s="20"/>
      <c r="AG10" s="20"/>
      <c r="AH10" s="20"/>
      <c r="AI10" s="20"/>
      <c r="AJ10" s="20"/>
      <c r="AK10" s="20"/>
      <c r="AL10" s="20"/>
      <c r="AM10" s="20"/>
      <c r="AN10" s="20"/>
      <c r="AO10" s="91"/>
    </row>
    <row r="11" spans="1:56" s="93" customFormat="1" x14ac:dyDescent="0.25">
      <c r="A11" s="147">
        <v>2003</v>
      </c>
      <c r="B11" s="94"/>
      <c r="C11" s="415">
        <f t="shared" si="5"/>
        <v>8743.5</v>
      </c>
      <c r="D11" s="38"/>
      <c r="E11" s="416">
        <v>9</v>
      </c>
      <c r="F11" s="571"/>
      <c r="G11" s="417">
        <f t="shared" si="4"/>
        <v>4</v>
      </c>
      <c r="H11" s="412">
        <f t="shared" ref="H11:H22" si="7">E11/E10</f>
        <v>1.8</v>
      </c>
      <c r="I11" s="18">
        <v>0</v>
      </c>
      <c r="J11" s="18">
        <v>0</v>
      </c>
      <c r="K11" s="18">
        <v>62</v>
      </c>
      <c r="L11" s="18">
        <v>444</v>
      </c>
      <c r="M11" s="18">
        <v>0</v>
      </c>
      <c r="N11" s="18">
        <v>0</v>
      </c>
      <c r="O11" s="18">
        <v>1</v>
      </c>
      <c r="P11" s="18">
        <v>100</v>
      </c>
      <c r="Q11" s="18">
        <f t="shared" ref="Q11:Q26" si="8">SUM(I11:P11)</f>
        <v>607</v>
      </c>
      <c r="R11" s="315">
        <f t="shared" si="6"/>
        <v>9350.5</v>
      </c>
      <c r="S11" s="208"/>
      <c r="T11"/>
      <c r="U11"/>
      <c r="V11"/>
      <c r="W11"/>
      <c r="X11" s="205"/>
      <c r="Y11"/>
      <c r="Z11" s="20"/>
      <c r="AA11" s="20"/>
      <c r="AB11" s="20"/>
      <c r="AC11" s="20"/>
      <c r="AD11" s="20"/>
      <c r="AE11" s="20"/>
      <c r="AF11" s="20"/>
      <c r="AG11" s="20"/>
      <c r="AH11" s="20"/>
      <c r="AI11" s="20"/>
      <c r="AJ11" s="20"/>
      <c r="AK11" s="20"/>
      <c r="AL11" s="20"/>
      <c r="AM11" s="20"/>
      <c r="AN11" s="20"/>
    </row>
    <row r="12" spans="1:56" s="93" customFormat="1" x14ac:dyDescent="0.25">
      <c r="A12" s="147">
        <v>2004</v>
      </c>
      <c r="B12" s="94"/>
      <c r="C12" s="415">
        <f t="shared" si="5"/>
        <v>12629.5</v>
      </c>
      <c r="D12" s="38"/>
      <c r="E12" s="416">
        <v>13</v>
      </c>
      <c r="F12" s="571"/>
      <c r="G12" s="417">
        <f t="shared" si="4"/>
        <v>4</v>
      </c>
      <c r="H12" s="412">
        <f t="shared" si="7"/>
        <v>1.4444444444444444</v>
      </c>
      <c r="I12" s="18">
        <v>0</v>
      </c>
      <c r="J12" s="18">
        <v>0</v>
      </c>
      <c r="K12" s="18">
        <v>134</v>
      </c>
      <c r="L12" s="18">
        <v>271</v>
      </c>
      <c r="M12" s="18">
        <v>0</v>
      </c>
      <c r="N12" s="18">
        <v>0</v>
      </c>
      <c r="O12" s="18">
        <v>0</v>
      </c>
      <c r="P12" s="18">
        <v>79</v>
      </c>
      <c r="Q12" s="18">
        <f t="shared" si="8"/>
        <v>484</v>
      </c>
      <c r="R12" s="315">
        <f t="shared" si="6"/>
        <v>13113.5</v>
      </c>
      <c r="S12" s="208"/>
      <c r="T12"/>
      <c r="U12"/>
      <c r="V12"/>
      <c r="W12"/>
      <c r="X12" s="205"/>
      <c r="Y12"/>
      <c r="Z12" s="20"/>
      <c r="AA12" s="143"/>
      <c r="AB12" s="143"/>
      <c r="AC12" s="143"/>
      <c r="AD12" s="143"/>
      <c r="AE12" s="143"/>
      <c r="AF12" s="143"/>
      <c r="AG12" s="143"/>
      <c r="AH12" s="143"/>
      <c r="AI12" s="143"/>
      <c r="AJ12" s="143"/>
      <c r="AK12" s="143"/>
      <c r="AL12" s="143"/>
      <c r="AM12" s="143"/>
      <c r="AN12" s="143"/>
      <c r="AO12" s="38"/>
    </row>
    <row r="13" spans="1:56" ht="14.65" customHeight="1" x14ac:dyDescent="0.25">
      <c r="A13" s="147">
        <v>2005</v>
      </c>
      <c r="B13" s="94"/>
      <c r="C13" s="415">
        <f t="shared" si="5"/>
        <v>14572.499999999998</v>
      </c>
      <c r="E13" s="416">
        <v>15</v>
      </c>
      <c r="F13" s="571"/>
      <c r="G13" s="417">
        <f t="shared" si="4"/>
        <v>2</v>
      </c>
      <c r="H13" s="412">
        <f t="shared" si="7"/>
        <v>1.1538461538461537</v>
      </c>
      <c r="I13" s="18">
        <v>0</v>
      </c>
      <c r="J13" s="18">
        <v>0</v>
      </c>
      <c r="K13" s="18">
        <v>120</v>
      </c>
      <c r="L13" s="18">
        <v>200</v>
      </c>
      <c r="M13" s="18">
        <v>0</v>
      </c>
      <c r="N13" s="18">
        <v>0</v>
      </c>
      <c r="O13" s="18">
        <v>0</v>
      </c>
      <c r="P13" s="18">
        <v>48</v>
      </c>
      <c r="Q13" s="18">
        <f t="shared" si="8"/>
        <v>368</v>
      </c>
      <c r="R13" s="315">
        <f t="shared" si="6"/>
        <v>14940.499999999998</v>
      </c>
      <c r="S13" s="208"/>
      <c r="T13"/>
      <c r="U13"/>
      <c r="V13"/>
      <c r="W13"/>
      <c r="X13" s="205"/>
      <c r="Y13"/>
      <c r="Z13" s="20"/>
      <c r="AA13" s="144"/>
      <c r="AB13" s="144"/>
      <c r="AC13" s="144"/>
      <c r="AD13" s="144"/>
      <c r="AE13" s="144"/>
      <c r="AF13" s="144"/>
      <c r="AG13" s="144"/>
      <c r="AH13" s="144"/>
      <c r="AI13" s="144"/>
      <c r="AJ13" s="144"/>
      <c r="AK13" s="144"/>
      <c r="AL13" s="144"/>
      <c r="AM13" s="144"/>
      <c r="AN13" s="144"/>
    </row>
    <row r="14" spans="1:56" x14ac:dyDescent="0.25">
      <c r="A14" s="147">
        <v>2006</v>
      </c>
      <c r="B14" s="94"/>
      <c r="C14" s="415">
        <f t="shared" si="5"/>
        <v>24287.499999999996</v>
      </c>
      <c r="E14" s="416">
        <v>25</v>
      </c>
      <c r="F14" s="571"/>
      <c r="G14" s="417">
        <f t="shared" si="4"/>
        <v>10</v>
      </c>
      <c r="H14" s="412">
        <f t="shared" si="7"/>
        <v>1.6666666666666667</v>
      </c>
      <c r="I14" s="18">
        <v>0</v>
      </c>
      <c r="J14" s="18">
        <v>0</v>
      </c>
      <c r="K14" s="18">
        <v>201</v>
      </c>
      <c r="L14" s="18">
        <v>235</v>
      </c>
      <c r="M14" s="18">
        <v>0</v>
      </c>
      <c r="N14" s="18">
        <v>0</v>
      </c>
      <c r="O14" s="18">
        <v>2</v>
      </c>
      <c r="P14" s="18">
        <v>1</v>
      </c>
      <c r="Q14" s="18">
        <f t="shared" si="8"/>
        <v>439</v>
      </c>
      <c r="R14" s="315">
        <f t="shared" si="6"/>
        <v>24726.499999999996</v>
      </c>
      <c r="S14" s="208"/>
      <c r="T14"/>
      <c r="U14"/>
      <c r="V14"/>
      <c r="W14"/>
      <c r="X14" s="205"/>
      <c r="Y14"/>
      <c r="Z14" s="20"/>
      <c r="AO14"/>
    </row>
    <row r="15" spans="1:56" x14ac:dyDescent="0.25">
      <c r="A15" s="147">
        <v>2007</v>
      </c>
      <c r="B15" s="94"/>
      <c r="C15" s="415">
        <f t="shared" si="5"/>
        <v>26230.499999999996</v>
      </c>
      <c r="E15" s="416">
        <v>27</v>
      </c>
      <c r="F15" s="571"/>
      <c r="G15" s="417">
        <f t="shared" si="4"/>
        <v>2</v>
      </c>
      <c r="H15" s="412">
        <f t="shared" si="7"/>
        <v>1.08</v>
      </c>
      <c r="I15" s="18">
        <v>0</v>
      </c>
      <c r="J15" s="18">
        <v>0</v>
      </c>
      <c r="K15" s="18">
        <v>220</v>
      </c>
      <c r="L15" s="18">
        <v>212</v>
      </c>
      <c r="M15" s="18">
        <v>0</v>
      </c>
      <c r="N15" s="18">
        <v>0</v>
      </c>
      <c r="O15" s="18">
        <v>2</v>
      </c>
      <c r="P15" s="18">
        <v>12</v>
      </c>
      <c r="Q15" s="18">
        <f t="shared" si="8"/>
        <v>446</v>
      </c>
      <c r="R15" s="315">
        <f t="shared" si="6"/>
        <v>26676.499999999996</v>
      </c>
      <c r="S15" s="208"/>
      <c r="T15"/>
      <c r="U15"/>
      <c r="V15"/>
      <c r="W15"/>
      <c r="X15" s="205"/>
      <c r="Y15"/>
      <c r="Z15" s="20"/>
      <c r="AO15"/>
    </row>
    <row r="16" spans="1:56" ht="14.65" customHeight="1" x14ac:dyDescent="0.25">
      <c r="A16" s="147">
        <v>2008</v>
      </c>
      <c r="B16" s="94"/>
      <c r="C16" s="415">
        <f t="shared" si="5"/>
        <v>34973.999999999993</v>
      </c>
      <c r="E16" s="416">
        <v>36</v>
      </c>
      <c r="F16" s="571"/>
      <c r="G16" s="417">
        <f t="shared" si="4"/>
        <v>9</v>
      </c>
      <c r="H16" s="412">
        <f t="shared" si="7"/>
        <v>1.3333333333333333</v>
      </c>
      <c r="I16" s="18">
        <v>0</v>
      </c>
      <c r="J16" s="18">
        <v>0</v>
      </c>
      <c r="K16" s="18">
        <v>172</v>
      </c>
      <c r="L16" s="18">
        <v>300</v>
      </c>
      <c r="M16" s="18">
        <v>0</v>
      </c>
      <c r="N16" s="18">
        <v>0</v>
      </c>
      <c r="O16" s="18">
        <v>0</v>
      </c>
      <c r="P16" s="18">
        <v>45</v>
      </c>
      <c r="Q16" s="18">
        <f t="shared" si="8"/>
        <v>517</v>
      </c>
      <c r="R16" s="315">
        <f t="shared" si="6"/>
        <v>35490.999999999993</v>
      </c>
      <c r="S16" s="208"/>
      <c r="T16"/>
      <c r="U16"/>
      <c r="V16"/>
      <c r="W16"/>
      <c r="X16" s="205"/>
      <c r="Y16"/>
      <c r="Z16" s="20"/>
      <c r="AO16"/>
    </row>
    <row r="17" spans="1:41" ht="14.65" customHeight="1" x14ac:dyDescent="0.25">
      <c r="A17" s="147">
        <v>2009</v>
      </c>
      <c r="B17" s="95">
        <v>38860</v>
      </c>
      <c r="C17" s="96">
        <v>38860</v>
      </c>
      <c r="D17" s="148" t="s">
        <v>143</v>
      </c>
      <c r="E17" s="416">
        <v>40</v>
      </c>
      <c r="F17" s="571"/>
      <c r="G17" s="417">
        <f t="shared" si="4"/>
        <v>4</v>
      </c>
      <c r="H17" s="412">
        <f t="shared" si="7"/>
        <v>1.1111111111111112</v>
      </c>
      <c r="I17" s="18">
        <v>0</v>
      </c>
      <c r="J17" s="18">
        <v>0</v>
      </c>
      <c r="K17" s="18">
        <v>213</v>
      </c>
      <c r="L17" s="18">
        <v>357</v>
      </c>
      <c r="M17" s="18">
        <v>0</v>
      </c>
      <c r="N17" s="18">
        <v>0</v>
      </c>
      <c r="O17" s="18">
        <v>1</v>
      </c>
      <c r="P17" s="18">
        <v>11</v>
      </c>
      <c r="Q17" s="18">
        <f t="shared" si="8"/>
        <v>582</v>
      </c>
      <c r="R17" s="315">
        <f t="shared" si="6"/>
        <v>39442</v>
      </c>
      <c r="S17" s="208"/>
      <c r="T17"/>
      <c r="U17"/>
      <c r="V17"/>
      <c r="W17"/>
      <c r="X17" s="205"/>
      <c r="Y17"/>
      <c r="Z17" s="20"/>
      <c r="AO17"/>
    </row>
    <row r="18" spans="1:41" ht="14.65" customHeight="1" x14ac:dyDescent="0.25">
      <c r="A18" s="147">
        <v>2010</v>
      </c>
      <c r="B18" s="94"/>
      <c r="C18" s="415">
        <f>C17*H18</f>
        <v>46632</v>
      </c>
      <c r="D18" s="148"/>
      <c r="E18" s="416">
        <v>48</v>
      </c>
      <c r="F18" s="571"/>
      <c r="G18" s="417">
        <f t="shared" si="4"/>
        <v>8</v>
      </c>
      <c r="H18" s="412">
        <f t="shared" si="7"/>
        <v>1.2</v>
      </c>
      <c r="I18" s="18">
        <v>0</v>
      </c>
      <c r="J18" s="18">
        <v>0</v>
      </c>
      <c r="K18" s="18">
        <v>297</v>
      </c>
      <c r="L18" s="18">
        <v>503</v>
      </c>
      <c r="M18" s="18">
        <v>0</v>
      </c>
      <c r="N18" s="18">
        <v>0</v>
      </c>
      <c r="O18" s="18">
        <v>0</v>
      </c>
      <c r="P18" s="18">
        <v>3</v>
      </c>
      <c r="Q18" s="18">
        <f t="shared" si="8"/>
        <v>803</v>
      </c>
      <c r="R18" s="315">
        <f t="shared" si="6"/>
        <v>47435</v>
      </c>
      <c r="S18" s="208"/>
      <c r="T18"/>
      <c r="U18"/>
      <c r="V18"/>
      <c r="W18"/>
      <c r="X18" s="205"/>
      <c r="Y18"/>
      <c r="Z18" s="20"/>
      <c r="AO18"/>
    </row>
    <row r="19" spans="1:41" ht="14.65" customHeight="1" x14ac:dyDescent="0.25">
      <c r="A19" s="147">
        <v>2011</v>
      </c>
      <c r="B19" s="94"/>
      <c r="C19" s="415">
        <f>C18*H19</f>
        <v>48575</v>
      </c>
      <c r="D19" s="148"/>
      <c r="E19" s="416">
        <v>50</v>
      </c>
      <c r="F19" s="566" t="s">
        <v>144</v>
      </c>
      <c r="G19" s="417">
        <f t="shared" si="4"/>
        <v>2</v>
      </c>
      <c r="H19" s="412">
        <f t="shared" si="7"/>
        <v>1.0416666666666667</v>
      </c>
      <c r="I19" s="18">
        <v>0</v>
      </c>
      <c r="J19" s="18">
        <v>0</v>
      </c>
      <c r="K19" s="18">
        <v>305</v>
      </c>
      <c r="L19" s="18">
        <v>693</v>
      </c>
      <c r="M19" s="18">
        <v>0</v>
      </c>
      <c r="N19" s="18">
        <v>0</v>
      </c>
      <c r="O19" s="18">
        <v>0</v>
      </c>
      <c r="P19" s="18">
        <v>13</v>
      </c>
      <c r="Q19" s="18">
        <f t="shared" si="8"/>
        <v>1011</v>
      </c>
      <c r="R19" s="315">
        <f t="shared" si="6"/>
        <v>49586</v>
      </c>
      <c r="S19" s="208"/>
      <c r="T19"/>
      <c r="U19"/>
      <c r="V19"/>
      <c r="W19"/>
      <c r="X19" s="205"/>
      <c r="Y19"/>
      <c r="Z19" s="20"/>
      <c r="AO19"/>
    </row>
    <row r="20" spans="1:41" ht="14.65" customHeight="1" x14ac:dyDescent="0.25">
      <c r="A20" s="147">
        <v>2012</v>
      </c>
      <c r="B20" s="94"/>
      <c r="C20" s="415">
        <f>C19*H20</f>
        <v>68005</v>
      </c>
      <c r="D20" s="148"/>
      <c r="E20" s="416">
        <v>70</v>
      </c>
      <c r="F20" s="566"/>
      <c r="G20" s="417">
        <f t="shared" si="4"/>
        <v>20</v>
      </c>
      <c r="H20" s="412">
        <f t="shared" si="7"/>
        <v>1.4</v>
      </c>
      <c r="I20" s="18">
        <v>0</v>
      </c>
      <c r="J20" s="18">
        <v>0</v>
      </c>
      <c r="K20" s="18">
        <v>456</v>
      </c>
      <c r="L20" s="18">
        <v>589</v>
      </c>
      <c r="M20" s="18">
        <v>0</v>
      </c>
      <c r="N20" s="18">
        <v>0</v>
      </c>
      <c r="O20" s="18">
        <v>0</v>
      </c>
      <c r="P20" s="18">
        <v>3</v>
      </c>
      <c r="Q20" s="18">
        <f t="shared" si="8"/>
        <v>1048</v>
      </c>
      <c r="R20" s="315">
        <f t="shared" si="6"/>
        <v>69053</v>
      </c>
      <c r="S20" s="208"/>
      <c r="T20"/>
      <c r="U20"/>
      <c r="V20"/>
      <c r="W20"/>
      <c r="X20" s="205"/>
      <c r="Y20"/>
      <c r="Z20" s="20"/>
      <c r="AO20"/>
    </row>
    <row r="21" spans="1:41" ht="14.65" customHeight="1" x14ac:dyDescent="0.25">
      <c r="A21" s="147">
        <v>2013</v>
      </c>
      <c r="B21" s="95">
        <v>140053</v>
      </c>
      <c r="C21" s="96">
        <v>140053</v>
      </c>
      <c r="D21" s="148" t="s">
        <v>144</v>
      </c>
      <c r="E21" s="418">
        <v>93</v>
      </c>
      <c r="F21" s="566"/>
      <c r="G21" s="417">
        <f t="shared" si="4"/>
        <v>23</v>
      </c>
      <c r="H21" s="412">
        <f t="shared" si="7"/>
        <v>1.3285714285714285</v>
      </c>
      <c r="I21" s="18">
        <v>0</v>
      </c>
      <c r="J21" s="18">
        <v>0</v>
      </c>
      <c r="K21" s="18">
        <v>767</v>
      </c>
      <c r="L21" s="18">
        <v>677</v>
      </c>
      <c r="M21" s="18">
        <v>0</v>
      </c>
      <c r="N21" s="18">
        <v>0</v>
      </c>
      <c r="O21" s="18">
        <v>0</v>
      </c>
      <c r="P21" s="18">
        <v>5</v>
      </c>
      <c r="Q21" s="18">
        <f t="shared" si="8"/>
        <v>1449</v>
      </c>
      <c r="R21" s="315">
        <f t="shared" si="6"/>
        <v>141502</v>
      </c>
      <c r="S21" s="208"/>
      <c r="T21"/>
      <c r="U21"/>
      <c r="V21"/>
      <c r="W21"/>
      <c r="X21" s="205"/>
      <c r="Y21"/>
      <c r="Z21" s="20"/>
      <c r="AO21"/>
    </row>
    <row r="22" spans="1:41" ht="14.65" customHeight="1" x14ac:dyDescent="0.25">
      <c r="A22" s="147">
        <v>2014</v>
      </c>
      <c r="B22" s="94"/>
      <c r="C22" s="415">
        <f>C21*H22</f>
        <v>204808.68817204301</v>
      </c>
      <c r="D22" s="148"/>
      <c r="E22" s="418">
        <v>136</v>
      </c>
      <c r="F22" s="566"/>
      <c r="G22" s="417">
        <f t="shared" si="4"/>
        <v>43</v>
      </c>
      <c r="H22" s="412">
        <f t="shared" si="7"/>
        <v>1.4623655913978495</v>
      </c>
      <c r="I22" s="18">
        <v>0</v>
      </c>
      <c r="J22" s="18">
        <v>1366</v>
      </c>
      <c r="K22" s="18">
        <v>3824</v>
      </c>
      <c r="L22" s="18">
        <v>1254</v>
      </c>
      <c r="M22" s="18">
        <v>0</v>
      </c>
      <c r="N22" s="18">
        <v>11</v>
      </c>
      <c r="O22" s="18">
        <v>0</v>
      </c>
      <c r="P22" s="18">
        <v>15</v>
      </c>
      <c r="Q22" s="18">
        <f t="shared" si="8"/>
        <v>6470</v>
      </c>
      <c r="R22" s="315">
        <f t="shared" si="6"/>
        <v>211278.68817204301</v>
      </c>
      <c r="S22" s="208"/>
      <c r="T22"/>
      <c r="U22"/>
      <c r="V22"/>
      <c r="W22"/>
      <c r="X22" s="205"/>
      <c r="Y22"/>
      <c r="Z22" s="20"/>
      <c r="AO22"/>
    </row>
    <row r="23" spans="1:41" ht="14.65" customHeight="1" x14ac:dyDescent="0.25">
      <c r="A23" s="147">
        <v>2015</v>
      </c>
      <c r="B23" s="94"/>
      <c r="C23" s="415">
        <f>C22*$H$22</f>
        <v>299505.17840212741</v>
      </c>
      <c r="D23" s="148"/>
      <c r="I23" s="18">
        <v>2</v>
      </c>
      <c r="J23" s="18">
        <v>11921</v>
      </c>
      <c r="K23" s="18">
        <v>11840</v>
      </c>
      <c r="L23" s="18">
        <v>2392</v>
      </c>
      <c r="M23" s="18">
        <v>0</v>
      </c>
      <c r="N23" s="18">
        <v>142</v>
      </c>
      <c r="O23" s="18">
        <v>9</v>
      </c>
      <c r="P23" s="18">
        <v>6</v>
      </c>
      <c r="Q23" s="18">
        <f t="shared" si="8"/>
        <v>26312</v>
      </c>
      <c r="R23" s="315">
        <f t="shared" si="6"/>
        <v>325817.17840212741</v>
      </c>
      <c r="S23" s="208"/>
      <c r="T23"/>
      <c r="U23"/>
      <c r="V23"/>
      <c r="W23"/>
      <c r="X23" s="205"/>
      <c r="Y23"/>
      <c r="Z23" s="20"/>
      <c r="AO23"/>
    </row>
    <row r="24" spans="1:41" ht="14.65" customHeight="1" x14ac:dyDescent="0.25">
      <c r="A24" s="147">
        <v>2016</v>
      </c>
      <c r="B24" s="94"/>
      <c r="C24" s="415">
        <f>C23*$H$22</f>
        <v>437986.06734074547</v>
      </c>
      <c r="D24" s="148"/>
      <c r="I24" s="18">
        <v>48123</v>
      </c>
      <c r="J24" s="18">
        <v>47043</v>
      </c>
      <c r="K24" s="18">
        <v>31435</v>
      </c>
      <c r="L24" s="18">
        <v>7381</v>
      </c>
      <c r="M24" s="18">
        <v>158</v>
      </c>
      <c r="N24" s="18">
        <v>1614</v>
      </c>
      <c r="O24" s="18">
        <v>47</v>
      </c>
      <c r="P24" s="18">
        <v>10</v>
      </c>
      <c r="Q24" s="18">
        <f t="shared" si="8"/>
        <v>135811</v>
      </c>
      <c r="R24" s="315">
        <f t="shared" si="6"/>
        <v>573797.06734074547</v>
      </c>
      <c r="S24" s="208"/>
      <c r="T24"/>
      <c r="U24"/>
      <c r="V24"/>
      <c r="W24"/>
      <c r="X24" s="205"/>
      <c r="Y24"/>
      <c r="Z24" s="20"/>
      <c r="AO24"/>
    </row>
    <row r="25" spans="1:41" ht="14.65" customHeight="1" x14ac:dyDescent="0.25">
      <c r="A25" s="147">
        <v>2017</v>
      </c>
      <c r="C25" s="415">
        <f>C24*$H$22</f>
        <v>640495.75439076754</v>
      </c>
      <c r="D25" s="148"/>
      <c r="I25" s="18">
        <v>188256</v>
      </c>
      <c r="J25" s="18">
        <v>47357</v>
      </c>
      <c r="K25" s="18">
        <v>25895</v>
      </c>
      <c r="L25" s="18">
        <v>8986</v>
      </c>
      <c r="M25" s="18">
        <v>962</v>
      </c>
      <c r="N25" s="18">
        <v>4256</v>
      </c>
      <c r="O25" s="18">
        <v>87</v>
      </c>
      <c r="P25" s="18">
        <v>41</v>
      </c>
      <c r="Q25" s="18">
        <f t="shared" si="8"/>
        <v>275840</v>
      </c>
      <c r="R25" s="315">
        <f t="shared" si="6"/>
        <v>916335.75439076754</v>
      </c>
      <c r="S25" s="208"/>
      <c r="T25"/>
      <c r="U25"/>
      <c r="V25"/>
      <c r="W25"/>
      <c r="X25" s="205"/>
      <c r="Y25"/>
      <c r="Z25" s="20"/>
      <c r="AO25"/>
    </row>
    <row r="26" spans="1:41" ht="14.65" customHeight="1" x14ac:dyDescent="0.25">
      <c r="A26" s="147">
        <v>2018</v>
      </c>
      <c r="C26" s="415">
        <f>C25*$H$22</f>
        <v>936638.95265746652</v>
      </c>
      <c r="D26" s="148"/>
      <c r="I26" s="18">
        <v>491235</v>
      </c>
      <c r="J26" s="18">
        <v>29859</v>
      </c>
      <c r="K26" s="18">
        <v>23956</v>
      </c>
      <c r="L26" s="18">
        <v>11599</v>
      </c>
      <c r="M26" s="18">
        <v>5297</v>
      </c>
      <c r="N26" s="18">
        <v>1601</v>
      </c>
      <c r="O26" s="18">
        <v>186</v>
      </c>
      <c r="P26" s="18">
        <v>114</v>
      </c>
      <c r="Q26" s="18">
        <f t="shared" si="8"/>
        <v>563847</v>
      </c>
      <c r="R26" s="315">
        <f t="shared" si="6"/>
        <v>1500485.9526574665</v>
      </c>
      <c r="S26" s="208"/>
      <c r="T26"/>
      <c r="U26"/>
      <c r="V26"/>
      <c r="W26"/>
      <c r="X26" s="205"/>
      <c r="Y26"/>
      <c r="Z26" s="20"/>
      <c r="AO26"/>
    </row>
    <row r="27" spans="1:41" ht="14.65" customHeight="1" x14ac:dyDescent="0.25">
      <c r="A27" s="147">
        <v>2019</v>
      </c>
      <c r="B27" s="95">
        <v>1012700</v>
      </c>
      <c r="C27" s="96">
        <v>1012700</v>
      </c>
      <c r="D27" s="148" t="s">
        <v>145</v>
      </c>
      <c r="I27" s="18">
        <v>874141</v>
      </c>
      <c r="J27" s="18">
        <v>6109</v>
      </c>
      <c r="K27" s="18">
        <v>17028</v>
      </c>
      <c r="L27" s="18">
        <v>7573</v>
      </c>
      <c r="M27" s="18">
        <v>6874</v>
      </c>
      <c r="N27" s="18">
        <v>6493</v>
      </c>
      <c r="O27" s="18">
        <v>107</v>
      </c>
      <c r="P27" s="18">
        <v>124</v>
      </c>
      <c r="Q27" s="18">
        <f>SUM(I27:P27)</f>
        <v>918449</v>
      </c>
      <c r="R27" s="315">
        <f>SUM(C27,Q27)</f>
        <v>1931149</v>
      </c>
      <c r="S27" s="208"/>
      <c r="T27"/>
      <c r="U27"/>
      <c r="V27"/>
      <c r="W27"/>
      <c r="X27" s="205"/>
      <c r="Y27"/>
      <c r="Z27" s="20"/>
      <c r="AO27"/>
    </row>
    <row r="28" spans="1:41" ht="14.65" customHeight="1" thickBot="1" x14ac:dyDescent="0.3">
      <c r="A28" s="149">
        <v>2020</v>
      </c>
      <c r="B28" s="97"/>
      <c r="C28" s="421">
        <v>1296290</v>
      </c>
      <c r="D28" s="98" t="s">
        <v>146</v>
      </c>
      <c r="E28" s="99"/>
      <c r="F28" s="99"/>
      <c r="G28" s="99"/>
      <c r="H28" s="99"/>
      <c r="I28" s="99">
        <v>981142</v>
      </c>
      <c r="J28" s="99">
        <v>313</v>
      </c>
      <c r="K28" s="99">
        <v>11636</v>
      </c>
      <c r="L28" s="99">
        <v>5906</v>
      </c>
      <c r="M28" s="99">
        <v>8001</v>
      </c>
      <c r="N28" s="99">
        <v>5</v>
      </c>
      <c r="O28" s="99">
        <v>87</v>
      </c>
      <c r="P28" s="99">
        <v>244</v>
      </c>
      <c r="Q28" s="99">
        <f>SUM(I28:P28)</f>
        <v>1007334</v>
      </c>
      <c r="R28" s="422">
        <f>SUM(C28,Q28)</f>
        <v>2303624</v>
      </c>
      <c r="S28" s="406"/>
      <c r="T28"/>
      <c r="U28"/>
      <c r="V28"/>
      <c r="W28"/>
      <c r="X28" s="205"/>
      <c r="Y28"/>
      <c r="Z28" s="20"/>
      <c r="AO28"/>
    </row>
    <row r="29" spans="1:41" ht="14.65" customHeight="1" x14ac:dyDescent="0.25">
      <c r="A29" s="367"/>
      <c r="B29" s="95"/>
      <c r="C29" s="96"/>
      <c r="D29" s="148"/>
      <c r="I29" s="18"/>
      <c r="J29" s="18"/>
      <c r="K29" s="18"/>
      <c r="L29" s="18"/>
      <c r="M29" s="18"/>
      <c r="N29" s="18"/>
      <c r="O29" s="18"/>
      <c r="P29" s="18"/>
      <c r="Q29" s="458"/>
      <c r="R29" s="18"/>
      <c r="S29" s="48"/>
      <c r="T29"/>
      <c r="U29"/>
      <c r="V29"/>
      <c r="W29"/>
      <c r="X29" s="205"/>
      <c r="Y29"/>
      <c r="Z29" s="20"/>
      <c r="AO29"/>
    </row>
    <row r="30" spans="1:41" x14ac:dyDescent="0.25">
      <c r="A30" s="100" t="s">
        <v>147</v>
      </c>
      <c r="AO30"/>
    </row>
    <row r="31" spans="1:41" x14ac:dyDescent="0.25">
      <c r="A31" s="100" t="s">
        <v>148</v>
      </c>
      <c r="B31" s="428"/>
      <c r="C31" s="428"/>
    </row>
    <row r="32" spans="1:41" x14ac:dyDescent="0.25">
      <c r="A32" s="100" t="s">
        <v>149</v>
      </c>
      <c r="B32" s="100"/>
      <c r="C32" s="100"/>
    </row>
    <row r="33" spans="1:3" x14ac:dyDescent="0.25">
      <c r="A33" s="100" t="s">
        <v>150</v>
      </c>
      <c r="B33" s="100"/>
      <c r="C33" s="100"/>
    </row>
    <row r="34" spans="1:3" x14ac:dyDescent="0.25">
      <c r="A34" s="38" t="s">
        <v>151</v>
      </c>
      <c r="B34" s="100"/>
      <c r="C34" s="100"/>
    </row>
    <row r="35" spans="1:3" ht="18" customHeight="1" x14ac:dyDescent="0.25">
      <c r="A35" s="38" t="s">
        <v>152</v>
      </c>
    </row>
    <row r="37" spans="1:3" ht="45" x14ac:dyDescent="0.25">
      <c r="A37" s="189" t="s">
        <v>153</v>
      </c>
      <c r="B37" s="38">
        <v>0.86</v>
      </c>
    </row>
    <row r="38" spans="1:3" x14ac:dyDescent="0.25">
      <c r="A38" s="189"/>
    </row>
  </sheetData>
  <mergeCells count="6">
    <mergeCell ref="F19:F22"/>
    <mergeCell ref="A1:R4"/>
    <mergeCell ref="B5:H5"/>
    <mergeCell ref="I5:L5"/>
    <mergeCell ref="M5:P5"/>
    <mergeCell ref="F7:F18"/>
  </mergeCells>
  <hyperlinks>
    <hyperlink ref="A30" r:id="rId1" location="tab" display="https://www.cdc.gov/mmwr/preview/mmwrhtml/mm6106a1.htm?s_cid=mm6106a1_w#tab" xr:uid="{00000000-0004-0000-0700-000000000000}"/>
    <hyperlink ref="A32" r:id="rId2" display="https://medium.com/@ejwharmreduction/harm-reduction-programs-distribute-one-million-doses-of-naloxone-in-2019-4884d3535256" xr:uid="{00000000-0004-0000-0700-000001000000}"/>
    <hyperlink ref="A31" r:id="rId3" display="https://www.cdc.gov/mmwr/preview/mmwrhtml/mm6423a2.htm" xr:uid="{00000000-0004-0000-0700-000002000000}"/>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41"/>
  <sheetViews>
    <sheetView zoomScaleNormal="100" workbookViewId="0">
      <pane xSplit="1" ySplit="6" topLeftCell="B7" activePane="bottomRight" state="frozen"/>
      <selection pane="topRight" activeCell="B1" sqref="B1"/>
      <selection pane="bottomLeft" activeCell="A8" sqref="A8"/>
      <selection pane="bottomRight" activeCell="A3" sqref="A3:G4"/>
    </sheetView>
  </sheetViews>
  <sheetFormatPr defaultColWidth="8.7109375" defaultRowHeight="15" x14ac:dyDescent="0.25"/>
  <cols>
    <col min="1" max="1" width="30" customWidth="1"/>
    <col min="2" max="2" width="9.42578125" customWidth="1"/>
    <col min="3" max="3" width="12.42578125" customWidth="1"/>
    <col min="4" max="4" width="8.42578125" customWidth="1"/>
    <col min="5" max="5" width="12.42578125" customWidth="1"/>
    <col min="6" max="6" width="9" customWidth="1"/>
    <col min="7" max="7" width="11.42578125" bestFit="1" customWidth="1"/>
    <col min="8" max="8" width="8.7109375" customWidth="1"/>
    <col min="9" max="9" width="12.42578125" customWidth="1"/>
    <col min="10" max="10" width="12.7109375" bestFit="1" customWidth="1"/>
    <col min="11" max="11" width="11.42578125" bestFit="1" customWidth="1"/>
    <col min="12" max="12" width="13.28515625" customWidth="1"/>
    <col min="13" max="13" width="11.42578125" bestFit="1" customWidth="1"/>
    <col min="14" max="14" width="9.140625" customWidth="1"/>
    <col min="15" max="15" width="11.42578125" bestFit="1" customWidth="1"/>
    <col min="16" max="16" width="8.7109375" customWidth="1"/>
    <col min="17" max="17" width="11.42578125" bestFit="1" customWidth="1"/>
    <col min="18" max="18" width="8.42578125" customWidth="1"/>
    <col min="19" max="19" width="11.42578125" bestFit="1" customWidth="1"/>
    <col min="20" max="20" width="11" bestFit="1" customWidth="1"/>
    <col min="21" max="21" width="8.140625" customWidth="1"/>
    <col min="22" max="22" width="8.42578125" customWidth="1"/>
    <col min="23" max="23" width="11.42578125" bestFit="1" customWidth="1"/>
    <col min="24" max="24" width="16.28515625" customWidth="1"/>
    <col min="25" max="25" width="11.7109375" bestFit="1" customWidth="1"/>
    <col min="26" max="26" width="7.7109375" bestFit="1" customWidth="1"/>
    <col min="27" max="27" width="12.42578125" bestFit="1" customWidth="1"/>
    <col min="28" max="28" width="10" customWidth="1"/>
    <col min="29" max="29" width="11.7109375" bestFit="1" customWidth="1"/>
    <col min="30" max="30" width="22" customWidth="1"/>
  </cols>
  <sheetData>
    <row r="1" spans="1:33" x14ac:dyDescent="0.25">
      <c r="A1" t="s">
        <v>131</v>
      </c>
      <c r="B1" s="54" t="s">
        <v>94</v>
      </c>
      <c r="C1" s="54" t="s">
        <v>95</v>
      </c>
      <c r="D1" s="54" t="s">
        <v>96</v>
      </c>
      <c r="E1" s="54" t="s">
        <v>97</v>
      </c>
      <c r="F1" s="54" t="s">
        <v>98</v>
      </c>
      <c r="G1" s="54" t="s">
        <v>99</v>
      </c>
      <c r="H1" s="54" t="s">
        <v>100</v>
      </c>
      <c r="I1" s="54" t="s">
        <v>101</v>
      </c>
      <c r="J1" s="54" t="s">
        <v>102</v>
      </c>
      <c r="K1" s="54" t="s">
        <v>103</v>
      </c>
      <c r="L1" s="54" t="s">
        <v>104</v>
      </c>
      <c r="M1" s="54" t="s">
        <v>105</v>
      </c>
      <c r="N1" s="54" t="s">
        <v>106</v>
      </c>
      <c r="O1" s="54" t="s">
        <v>107</v>
      </c>
      <c r="P1" s="54" t="s">
        <v>108</v>
      </c>
      <c r="Q1" s="54" t="s">
        <v>109</v>
      </c>
      <c r="R1" s="54" t="s">
        <v>110</v>
      </c>
      <c r="S1" s="54" t="s">
        <v>111</v>
      </c>
      <c r="T1" s="54" t="s">
        <v>112</v>
      </c>
      <c r="U1" s="54" t="s">
        <v>113</v>
      </c>
      <c r="V1" s="183">
        <v>2019</v>
      </c>
      <c r="W1" s="183">
        <v>2020</v>
      </c>
      <c r="X1" s="183">
        <v>2021</v>
      </c>
    </row>
    <row r="2" spans="1:33" x14ac:dyDescent="0.25">
      <c r="A2" s="25" t="s">
        <v>5</v>
      </c>
      <c r="B2">
        <f t="shared" ref="B2:D2" si="0">B41</f>
        <v>0</v>
      </c>
      <c r="C2">
        <f t="shared" si="0"/>
        <v>0</v>
      </c>
      <c r="D2">
        <f t="shared" si="0"/>
        <v>0</v>
      </c>
      <c r="E2">
        <f t="shared" ref="E2:W2" si="1">E41</f>
        <v>0</v>
      </c>
      <c r="F2">
        <f t="shared" si="1"/>
        <v>0</v>
      </c>
      <c r="G2">
        <f t="shared" si="1"/>
        <v>0</v>
      </c>
      <c r="H2">
        <f t="shared" si="1"/>
        <v>0</v>
      </c>
      <c r="I2">
        <f t="shared" si="1"/>
        <v>0</v>
      </c>
      <c r="J2" s="23">
        <f t="shared" si="1"/>
        <v>1.0755202244563947E-2</v>
      </c>
      <c r="K2" s="23">
        <f t="shared" si="1"/>
        <v>5.6314948870589696E-3</v>
      </c>
      <c r="L2" s="23">
        <f t="shared" si="1"/>
        <v>5.7798856433668722E-3</v>
      </c>
      <c r="M2" s="23">
        <f t="shared" si="1"/>
        <v>6.1042036175059195E-3</v>
      </c>
      <c r="N2" s="23">
        <f t="shared" si="1"/>
        <v>5.3814787439894363E-3</v>
      </c>
      <c r="O2" s="23">
        <f t="shared" si="1"/>
        <v>0</v>
      </c>
      <c r="P2" s="23">
        <f t="shared" si="1"/>
        <v>6.4060575890166902E-3</v>
      </c>
      <c r="Q2" s="23">
        <f t="shared" si="1"/>
        <v>2.7908994218554105E-2</v>
      </c>
      <c r="R2" s="23">
        <f t="shared" si="1"/>
        <v>8.2317311449785074E-2</v>
      </c>
      <c r="S2" s="23">
        <f t="shared" si="1"/>
        <v>0.18473601770824541</v>
      </c>
      <c r="T2" s="23">
        <f t="shared" si="1"/>
        <v>0.32210083779712445</v>
      </c>
      <c r="U2" s="23">
        <f t="shared" si="1"/>
        <v>0.40610436550278561</v>
      </c>
      <c r="V2">
        <f t="shared" si="1"/>
        <v>0.47271690770965785</v>
      </c>
      <c r="W2">
        <f t="shared" si="1"/>
        <v>0.56212888305519093</v>
      </c>
      <c r="X2">
        <f t="shared" ref="X2" si="2">X41</f>
        <v>0.69757016049493414</v>
      </c>
    </row>
    <row r="3" spans="1:33" ht="14.65" customHeight="1" x14ac:dyDescent="0.25">
      <c r="A3" s="573" t="s">
        <v>496</v>
      </c>
      <c r="B3" s="573"/>
      <c r="C3" s="573"/>
      <c r="D3" s="573"/>
      <c r="E3" s="573"/>
      <c r="F3" s="573"/>
      <c r="G3" s="573"/>
      <c r="H3" s="23"/>
      <c r="I3" s="23"/>
      <c r="J3" s="23"/>
      <c r="K3" s="23"/>
      <c r="L3" s="23"/>
      <c r="M3" s="23"/>
      <c r="N3" s="23"/>
      <c r="O3" s="23"/>
      <c r="P3" s="23"/>
      <c r="Q3" s="23"/>
      <c r="R3" s="23"/>
      <c r="AB3" s="22"/>
      <c r="AD3" s="22" t="s">
        <v>154</v>
      </c>
    </row>
    <row r="4" spans="1:33" ht="99" customHeight="1" x14ac:dyDescent="0.25">
      <c r="A4" s="573"/>
      <c r="B4" s="573"/>
      <c r="C4" s="573"/>
      <c r="D4" s="573"/>
      <c r="E4" s="573"/>
      <c r="F4" s="573"/>
      <c r="G4" s="573"/>
      <c r="AA4" t="s">
        <v>155</v>
      </c>
      <c r="AB4" s="22" t="s">
        <v>156</v>
      </c>
      <c r="AD4" s="440" t="s">
        <v>157</v>
      </c>
    </row>
    <row r="5" spans="1:33" ht="14.65" customHeight="1" x14ac:dyDescent="0.25">
      <c r="A5" s="55" t="s">
        <v>131</v>
      </c>
      <c r="B5" s="574">
        <v>2007</v>
      </c>
      <c r="C5" s="574"/>
      <c r="D5" s="574">
        <v>2008</v>
      </c>
      <c r="E5" s="574"/>
      <c r="F5" s="574">
        <v>2009</v>
      </c>
      <c r="G5" s="574"/>
      <c r="H5" s="574">
        <v>2010</v>
      </c>
      <c r="I5" s="574"/>
      <c r="J5" s="574">
        <v>2011</v>
      </c>
      <c r="K5" s="574"/>
      <c r="L5" s="574">
        <v>2012</v>
      </c>
      <c r="M5" s="574"/>
      <c r="N5" s="574">
        <v>2013</v>
      </c>
      <c r="O5" s="574"/>
      <c r="P5" s="574">
        <v>2014</v>
      </c>
      <c r="Q5" s="574"/>
      <c r="R5" s="574">
        <v>2015</v>
      </c>
      <c r="S5" s="574"/>
      <c r="T5" s="574">
        <v>2016</v>
      </c>
      <c r="U5" s="574"/>
      <c r="V5" s="574">
        <v>2017</v>
      </c>
      <c r="W5" s="574"/>
      <c r="X5" s="574">
        <v>2018</v>
      </c>
      <c r="Y5" s="574"/>
      <c r="Z5" s="575">
        <v>2019</v>
      </c>
      <c r="AA5" s="575"/>
      <c r="AB5" s="575">
        <v>2020</v>
      </c>
      <c r="AC5" s="575"/>
      <c r="AD5" s="572">
        <v>2021</v>
      </c>
      <c r="AE5" s="572"/>
    </row>
    <row r="6" spans="1:33" ht="14.65" customHeight="1" x14ac:dyDescent="0.25">
      <c r="A6" s="73" t="s">
        <v>158</v>
      </c>
      <c r="B6" s="140" t="s">
        <v>159</v>
      </c>
      <c r="C6" s="141" t="s">
        <v>160</v>
      </c>
      <c r="D6" s="1" t="s">
        <v>159</v>
      </c>
      <c r="E6" s="141" t="s">
        <v>160</v>
      </c>
      <c r="F6" s="1" t="s">
        <v>159</v>
      </c>
      <c r="G6" s="141" t="s">
        <v>160</v>
      </c>
      <c r="H6" s="1" t="s">
        <v>159</v>
      </c>
      <c r="I6" s="141" t="s">
        <v>160</v>
      </c>
      <c r="J6" s="1" t="s">
        <v>159</v>
      </c>
      <c r="K6" s="141" t="s">
        <v>160</v>
      </c>
      <c r="L6" s="1" t="s">
        <v>159</v>
      </c>
      <c r="M6" s="141" t="s">
        <v>160</v>
      </c>
      <c r="N6" s="1" t="s">
        <v>159</v>
      </c>
      <c r="O6" s="141" t="s">
        <v>160</v>
      </c>
      <c r="P6" s="1" t="s">
        <v>159</v>
      </c>
      <c r="Q6" s="141" t="s">
        <v>160</v>
      </c>
      <c r="R6" s="1" t="s">
        <v>159</v>
      </c>
      <c r="S6" s="141" t="s">
        <v>160</v>
      </c>
      <c r="T6" s="1" t="s">
        <v>159</v>
      </c>
      <c r="U6" s="141" t="s">
        <v>160</v>
      </c>
      <c r="V6" s="1" t="s">
        <v>159</v>
      </c>
      <c r="W6" s="141" t="s">
        <v>160</v>
      </c>
      <c r="X6" s="1" t="s">
        <v>159</v>
      </c>
      <c r="Y6" s="1" t="s">
        <v>160</v>
      </c>
      <c r="Z6" s="226" t="s">
        <v>159</v>
      </c>
      <c r="AA6" s="227" t="s">
        <v>160</v>
      </c>
      <c r="AB6" s="226" t="s">
        <v>159</v>
      </c>
      <c r="AC6" s="227" t="s">
        <v>160</v>
      </c>
      <c r="AD6" s="226" t="s">
        <v>159</v>
      </c>
      <c r="AE6" s="227" t="s">
        <v>160</v>
      </c>
    </row>
    <row r="7" spans="1:33" ht="14.65" customHeight="1" x14ac:dyDescent="0.25">
      <c r="A7" s="25" t="s">
        <v>161</v>
      </c>
      <c r="B7" s="271">
        <v>88851</v>
      </c>
      <c r="C7" s="272">
        <f t="shared" ref="C7:C33" si="3">(B7/$B$38)</f>
        <v>0.48468235525153014</v>
      </c>
      <c r="D7" s="25">
        <v>95879</v>
      </c>
      <c r="E7" s="272">
        <f t="shared" ref="E7:E33" si="4">(D7/$D$38)</f>
        <v>0.48312715729006578</v>
      </c>
      <c r="F7" s="25">
        <v>112153</v>
      </c>
      <c r="G7" s="272">
        <f t="shared" ref="G7:G33" si="5">(F7/$F$38)</f>
        <v>0.46621245250704602</v>
      </c>
      <c r="H7" s="25">
        <v>110393</v>
      </c>
      <c r="I7" s="272">
        <f t="shared" ref="I7:I33" si="6">(H7/$H$38)</f>
        <v>0.42913398070329567</v>
      </c>
      <c r="J7" s="273">
        <v>119765</v>
      </c>
      <c r="K7" s="272">
        <f t="shared" ref="K7:K33" si="7">(J7/$J$38)</f>
        <v>0.44819379006575183</v>
      </c>
      <c r="L7" s="25">
        <v>131624</v>
      </c>
      <c r="M7" s="272">
        <f t="shared" ref="M7:M33" si="8">(L7/$L$38)</f>
        <v>0.48354555006135058</v>
      </c>
      <c r="N7" s="25">
        <v>151690</v>
      </c>
      <c r="O7" s="272">
        <f t="shared" ref="O7:O33" si="9">(N7/$N$38)</f>
        <v>0.55279403511585024</v>
      </c>
      <c r="P7" s="25">
        <v>163600</v>
      </c>
      <c r="Q7" s="272">
        <f t="shared" ref="Q7:Q33" si="10">(P7/$P$38)</f>
        <v>0.57268876675884761</v>
      </c>
      <c r="R7" s="25">
        <v>187868</v>
      </c>
      <c r="S7" s="272">
        <f t="shared" ref="S7:S33" si="11">(R7/$R$38)</f>
        <v>0.58675195122789159</v>
      </c>
      <c r="T7" s="25">
        <v>173842</v>
      </c>
      <c r="U7" s="272">
        <f t="shared" ref="U7:U33" si="12">(T7/$T$38)</f>
        <v>0.54350592303339351</v>
      </c>
      <c r="V7" s="25">
        <v>157055</v>
      </c>
      <c r="W7" s="272">
        <f t="shared" ref="W7:W33" si="13">(V7/$V$38)</f>
        <v>0.47820222392731437</v>
      </c>
      <c r="X7" s="25">
        <v>140818</v>
      </c>
      <c r="Y7" s="274">
        <f t="shared" ref="Y7:Y33" si="14">(X7/$X$38)</f>
        <v>0.43634459379899726</v>
      </c>
      <c r="Z7" s="275">
        <v>127641</v>
      </c>
      <c r="AA7" s="276">
        <f t="shared" ref="AA7:AA33" si="15">(Z7/$Z$38)</f>
        <v>0.40382498101746395</v>
      </c>
      <c r="AB7" s="25">
        <v>98077</v>
      </c>
      <c r="AC7" s="274">
        <f t="shared" ref="AC7:AC33" si="16">AB7/$AB$38</f>
        <v>0.34244882139951605</v>
      </c>
      <c r="AD7" s="25">
        <v>13492</v>
      </c>
      <c r="AE7" s="274">
        <f>AD7/$AD$38</f>
        <v>0.22294930266375834</v>
      </c>
    </row>
    <row r="8" spans="1:33" ht="14.65" customHeight="1" x14ac:dyDescent="0.25">
      <c r="A8" t="s">
        <v>162</v>
      </c>
      <c r="B8" s="175">
        <v>29663</v>
      </c>
      <c r="C8" s="176">
        <f t="shared" si="3"/>
        <v>0.1618117151616317</v>
      </c>
      <c r="D8">
        <v>35071</v>
      </c>
      <c r="E8" s="176">
        <f t="shared" si="4"/>
        <v>0.17672016326119272</v>
      </c>
      <c r="F8">
        <v>47822</v>
      </c>
      <c r="G8" s="176">
        <f t="shared" si="5"/>
        <v>0.19879282679724977</v>
      </c>
      <c r="H8">
        <v>60932</v>
      </c>
      <c r="I8" s="176">
        <f t="shared" si="6"/>
        <v>0.23686276948912713</v>
      </c>
      <c r="J8" s="18">
        <v>59953</v>
      </c>
      <c r="K8" s="176">
        <f t="shared" si="7"/>
        <v>0.22436072555264075</v>
      </c>
      <c r="L8">
        <v>55237</v>
      </c>
      <c r="M8" s="176">
        <f t="shared" si="8"/>
        <v>0.20292352115677098</v>
      </c>
      <c r="N8" s="18">
        <v>45528</v>
      </c>
      <c r="O8" s="176">
        <f t="shared" si="9"/>
        <v>0.16591473947362667</v>
      </c>
      <c r="P8">
        <v>43000</v>
      </c>
      <c r="Q8" s="176">
        <f t="shared" si="10"/>
        <v>0.15052333111632302</v>
      </c>
      <c r="R8">
        <v>41894</v>
      </c>
      <c r="S8" s="176">
        <f t="shared" si="11"/>
        <v>0.13084392363117342</v>
      </c>
      <c r="T8">
        <v>37904</v>
      </c>
      <c r="U8" s="176">
        <f t="shared" si="12"/>
        <v>0.11850443797619531</v>
      </c>
      <c r="V8">
        <v>33076</v>
      </c>
      <c r="W8" s="176">
        <f t="shared" si="13"/>
        <v>0.10071004908229506</v>
      </c>
      <c r="X8">
        <v>27062</v>
      </c>
      <c r="Y8" s="23">
        <f t="shared" si="14"/>
        <v>8.3855454539820656E-2</v>
      </c>
      <c r="Z8" s="228">
        <v>22470</v>
      </c>
      <c r="AA8" s="244">
        <f t="shared" si="15"/>
        <v>7.1089597570235377E-2</v>
      </c>
      <c r="AB8">
        <v>17038</v>
      </c>
      <c r="AC8" s="23">
        <f t="shared" si="16"/>
        <v>5.9490431181673117E-2</v>
      </c>
      <c r="AD8">
        <f>4591</f>
        <v>4591</v>
      </c>
      <c r="AE8" s="274">
        <f t="shared" ref="AE8:AE33" si="17">AD8/$AD$38</f>
        <v>7.5864234252098622E-2</v>
      </c>
    </row>
    <row r="9" spans="1:33" ht="14.65" customHeight="1" x14ac:dyDescent="0.25">
      <c r="A9" t="s">
        <v>163</v>
      </c>
      <c r="B9" s="177">
        <v>462</v>
      </c>
      <c r="C9" s="176">
        <f t="shared" si="3"/>
        <v>2.5202107812653421E-3</v>
      </c>
      <c r="D9">
        <v>0</v>
      </c>
      <c r="E9" s="176">
        <f t="shared" si="4"/>
        <v>0</v>
      </c>
      <c r="F9">
        <v>0</v>
      </c>
      <c r="G9" s="176">
        <f t="shared" si="5"/>
        <v>0</v>
      </c>
      <c r="H9">
        <v>0</v>
      </c>
      <c r="I9" s="176">
        <f t="shared" si="6"/>
        <v>0</v>
      </c>
      <c r="J9">
        <v>0</v>
      </c>
      <c r="K9" s="176">
        <f t="shared" si="7"/>
        <v>0</v>
      </c>
      <c r="L9">
        <v>0</v>
      </c>
      <c r="M9" s="176">
        <f t="shared" si="8"/>
        <v>0</v>
      </c>
      <c r="N9">
        <v>0</v>
      </c>
      <c r="O9" s="176">
        <f t="shared" si="9"/>
        <v>0</v>
      </c>
      <c r="P9">
        <v>0</v>
      </c>
      <c r="Q9" s="176">
        <f t="shared" si="10"/>
        <v>0</v>
      </c>
      <c r="R9">
        <v>0</v>
      </c>
      <c r="S9" s="176">
        <f t="shared" si="11"/>
        <v>0</v>
      </c>
      <c r="T9">
        <v>0</v>
      </c>
      <c r="U9" s="176">
        <f t="shared" si="12"/>
        <v>0</v>
      </c>
      <c r="V9">
        <v>0</v>
      </c>
      <c r="W9" s="176">
        <f t="shared" si="13"/>
        <v>0</v>
      </c>
      <c r="X9">
        <v>0</v>
      </c>
      <c r="Y9" s="23">
        <f t="shared" si="14"/>
        <v>0</v>
      </c>
      <c r="Z9" s="229">
        <v>0</v>
      </c>
      <c r="AA9" s="244">
        <f t="shared" si="15"/>
        <v>0</v>
      </c>
      <c r="AB9" s="229">
        <v>0</v>
      </c>
      <c r="AC9" s="23">
        <f t="shared" si="16"/>
        <v>0</v>
      </c>
      <c r="AE9" s="274">
        <f t="shared" si="17"/>
        <v>0</v>
      </c>
    </row>
    <row r="10" spans="1:33" ht="14.65" customHeight="1" x14ac:dyDescent="0.25">
      <c r="A10" t="s">
        <v>164</v>
      </c>
      <c r="B10" s="175">
        <v>38012</v>
      </c>
      <c r="C10" s="176">
        <f t="shared" si="3"/>
        <v>0.20735552428021253</v>
      </c>
      <c r="D10">
        <v>40029</v>
      </c>
      <c r="E10" s="176">
        <f t="shared" si="4"/>
        <v>0.2017031568869517</v>
      </c>
      <c r="F10">
        <v>47222</v>
      </c>
      <c r="G10" s="176">
        <f t="shared" si="5"/>
        <v>0.19629866728743525</v>
      </c>
      <c r="H10">
        <v>48078</v>
      </c>
      <c r="I10" s="176">
        <f t="shared" si="6"/>
        <v>0.1868950343251207</v>
      </c>
      <c r="J10" s="18">
        <v>46872</v>
      </c>
      <c r="K10" s="176">
        <f t="shared" si="7"/>
        <v>0.17540800173641646</v>
      </c>
      <c r="L10">
        <v>43115</v>
      </c>
      <c r="M10" s="176">
        <f t="shared" si="8"/>
        <v>0.15839107146793238</v>
      </c>
      <c r="N10" s="18">
        <v>37067</v>
      </c>
      <c r="O10" s="176">
        <f t="shared" si="9"/>
        <v>0.13508086557874099</v>
      </c>
      <c r="P10">
        <v>33132</v>
      </c>
      <c r="Q10" s="176">
        <f t="shared" si="10"/>
        <v>0.11597997689641895</v>
      </c>
      <c r="R10">
        <v>27219</v>
      </c>
      <c r="S10" s="176">
        <f t="shared" si="11"/>
        <v>8.5010759471926989E-2</v>
      </c>
      <c r="T10">
        <v>24681</v>
      </c>
      <c r="U10" s="176">
        <f t="shared" si="12"/>
        <v>7.7163572015894799E-2</v>
      </c>
      <c r="V10">
        <v>20812</v>
      </c>
      <c r="W10" s="176">
        <f t="shared" si="13"/>
        <v>6.3368531306709538E-2</v>
      </c>
      <c r="X10">
        <v>16452</v>
      </c>
      <c r="Y10" s="23">
        <f t="shared" si="14"/>
        <v>5.0978861063082158E-2</v>
      </c>
      <c r="Z10" s="228">
        <v>12747</v>
      </c>
      <c r="AA10" s="244">
        <f t="shared" si="15"/>
        <v>4.0328397873955958E-2</v>
      </c>
      <c r="AB10">
        <v>8670</v>
      </c>
      <c r="AC10" s="23">
        <f t="shared" si="16"/>
        <v>3.0272452068617558E-2</v>
      </c>
      <c r="AD10" s="18">
        <v>2105</v>
      </c>
      <c r="AE10" s="274">
        <f t="shared" si="17"/>
        <v>3.4784189305307689E-2</v>
      </c>
      <c r="AF10" s="26"/>
      <c r="AG10" s="26"/>
    </row>
    <row r="11" spans="1:33" ht="14.65" customHeight="1" x14ac:dyDescent="0.25">
      <c r="A11" t="s">
        <v>165</v>
      </c>
      <c r="B11" s="175">
        <v>2855</v>
      </c>
      <c r="C11" s="176">
        <f t="shared" si="3"/>
        <v>1.5574029827949247E-2</v>
      </c>
      <c r="D11">
        <v>4961</v>
      </c>
      <c r="E11" s="176">
        <f t="shared" si="4"/>
        <v>2.4998110402862109E-2</v>
      </c>
      <c r="F11">
        <v>7508</v>
      </c>
      <c r="G11" s="176">
        <f t="shared" si="5"/>
        <v>3.1210249332812332E-2</v>
      </c>
      <c r="H11">
        <v>10537</v>
      </c>
      <c r="I11" s="176">
        <f t="shared" si="6"/>
        <v>4.0960792393273368E-2</v>
      </c>
      <c r="J11" s="18">
        <v>10922</v>
      </c>
      <c r="K11" s="176">
        <f t="shared" si="7"/>
        <v>4.0873148040730944E-2</v>
      </c>
      <c r="L11">
        <v>11801</v>
      </c>
      <c r="M11" s="176">
        <f t="shared" si="8"/>
        <v>4.3353195741460508E-2</v>
      </c>
      <c r="N11" s="18">
        <v>11992</v>
      </c>
      <c r="O11" s="176">
        <f t="shared" si="9"/>
        <v>4.3701668330867402E-2</v>
      </c>
      <c r="P11">
        <v>15209</v>
      </c>
      <c r="Q11" s="176">
        <f t="shared" si="10"/>
        <v>5.3239752161585045E-2</v>
      </c>
      <c r="R11">
        <v>17917</v>
      </c>
      <c r="S11" s="176">
        <f t="shared" si="11"/>
        <v>5.595862366209324E-2</v>
      </c>
      <c r="T11">
        <v>18077</v>
      </c>
      <c r="U11" s="176">
        <f t="shared" si="12"/>
        <v>5.6516587307294287E-2</v>
      </c>
      <c r="V11">
        <v>19137</v>
      </c>
      <c r="W11" s="176">
        <f t="shared" si="13"/>
        <v>5.8268478936022508E-2</v>
      </c>
      <c r="X11">
        <v>19621</v>
      </c>
      <c r="Y11" s="23">
        <f t="shared" si="14"/>
        <v>6.0798458115653722E-2</v>
      </c>
      <c r="Z11" s="228">
        <v>20552</v>
      </c>
      <c r="AA11" s="244">
        <f t="shared" si="15"/>
        <v>6.5021513540875722E-2</v>
      </c>
      <c r="AB11">
        <v>17077</v>
      </c>
      <c r="AC11" s="23">
        <f t="shared" si="16"/>
        <v>5.9626604841497351E-2</v>
      </c>
      <c r="AD11" s="18">
        <v>4232</v>
      </c>
      <c r="AE11" s="274">
        <f t="shared" si="17"/>
        <v>6.993191883138343E-2</v>
      </c>
      <c r="AF11" s="26"/>
      <c r="AG11" s="26"/>
    </row>
    <row r="12" spans="1:33" ht="14.65" customHeight="1" x14ac:dyDescent="0.25">
      <c r="A12" t="s">
        <v>166</v>
      </c>
      <c r="B12" s="175">
        <v>5326</v>
      </c>
      <c r="C12" s="176">
        <f t="shared" si="3"/>
        <v>2.9053339006535093E-2</v>
      </c>
      <c r="D12">
        <v>5786</v>
      </c>
      <c r="E12" s="176">
        <f t="shared" si="4"/>
        <v>2.9155224106220554E-2</v>
      </c>
      <c r="F12">
        <v>7351</v>
      </c>
      <c r="G12" s="176">
        <f t="shared" si="5"/>
        <v>3.05576109277442E-2</v>
      </c>
      <c r="H12">
        <v>7593</v>
      </c>
      <c r="I12" s="176">
        <f t="shared" si="6"/>
        <v>2.9516493939653096E-2</v>
      </c>
      <c r="J12" s="18">
        <v>8309</v>
      </c>
      <c r="K12" s="176">
        <f t="shared" si="7"/>
        <v>3.10945785634896E-2</v>
      </c>
      <c r="L12">
        <v>9311</v>
      </c>
      <c r="M12" s="176">
        <f t="shared" si="8"/>
        <v>3.4205711850583749E-2</v>
      </c>
      <c r="N12" s="18">
        <v>7955</v>
      </c>
      <c r="O12" s="176">
        <f t="shared" si="9"/>
        <v>2.898989089159858E-2</v>
      </c>
      <c r="P12">
        <v>7620</v>
      </c>
      <c r="Q12" s="176">
        <f t="shared" si="10"/>
        <v>2.6674134490846081E-2</v>
      </c>
      <c r="R12">
        <v>7290</v>
      </c>
      <c r="S12" s="176">
        <f t="shared" si="11"/>
        <v>2.2768229418801123E-2</v>
      </c>
      <c r="T12">
        <v>6201</v>
      </c>
      <c r="U12" s="176">
        <f t="shared" si="12"/>
        <v>1.9387030917327647E-2</v>
      </c>
      <c r="V12">
        <v>5192</v>
      </c>
      <c r="W12" s="176">
        <f t="shared" si="13"/>
        <v>1.5808639945437051E-2</v>
      </c>
      <c r="X12">
        <v>4011</v>
      </c>
      <c r="Y12" s="23">
        <f t="shared" si="14"/>
        <v>1.242865376392065E-2</v>
      </c>
      <c r="Z12" s="228">
        <v>3003</v>
      </c>
      <c r="AA12" s="244">
        <f t="shared" si="15"/>
        <v>9.5007593014426722E-3</v>
      </c>
      <c r="AB12">
        <v>2290</v>
      </c>
      <c r="AC12" s="23">
        <f t="shared" si="16"/>
        <v>7.9958379742946038E-3</v>
      </c>
      <c r="AD12" s="18">
        <v>536</v>
      </c>
      <c r="AE12" s="274">
        <f t="shared" si="17"/>
        <v>8.8571617423491306E-3</v>
      </c>
      <c r="AF12" s="26"/>
      <c r="AG12" s="26"/>
    </row>
    <row r="13" spans="1:33" ht="14.65" customHeight="1" x14ac:dyDescent="0.25">
      <c r="A13" t="s">
        <v>167</v>
      </c>
      <c r="B13" s="175">
        <v>9202</v>
      </c>
      <c r="C13" s="176">
        <f t="shared" si="3"/>
        <v>5.0196925561046921E-2</v>
      </c>
      <c r="D13">
        <v>9136</v>
      </c>
      <c r="E13" s="176">
        <f t="shared" si="4"/>
        <v>4.603562520470636E-2</v>
      </c>
      <c r="F13">
        <v>10016</v>
      </c>
      <c r="G13" s="176">
        <f t="shared" si="5"/>
        <v>4.1635836083837016E-2</v>
      </c>
      <c r="H13">
        <v>9477</v>
      </c>
      <c r="I13" s="176">
        <f t="shared" si="6"/>
        <v>3.684022297722802E-2</v>
      </c>
      <c r="J13" s="18">
        <v>8853</v>
      </c>
      <c r="K13" s="176">
        <f t="shared" si="7"/>
        <v>3.3130377184086339E-2</v>
      </c>
      <c r="L13">
        <v>8071</v>
      </c>
      <c r="M13" s="176">
        <f t="shared" si="8"/>
        <v>2.9650338346693315E-2</v>
      </c>
      <c r="N13" s="18">
        <v>6542</v>
      </c>
      <c r="O13" s="176">
        <f t="shared" si="9"/>
        <v>2.3840586576095276E-2</v>
      </c>
      <c r="P13">
        <v>5559</v>
      </c>
      <c r="Q13" s="176">
        <f t="shared" si="10"/>
        <v>1.9459516225014878E-2</v>
      </c>
      <c r="R13">
        <v>5023</v>
      </c>
      <c r="S13" s="176">
        <f t="shared" si="11"/>
        <v>1.5687903480197263E-2</v>
      </c>
      <c r="T13">
        <v>4231</v>
      </c>
      <c r="U13" s="176">
        <f t="shared" si="12"/>
        <v>1.3227951590261777E-2</v>
      </c>
      <c r="V13">
        <v>3105</v>
      </c>
      <c r="W13" s="176">
        <f t="shared" si="13"/>
        <v>9.4541269319302866E-3</v>
      </c>
      <c r="X13">
        <v>2430</v>
      </c>
      <c r="Y13" s="23">
        <f t="shared" si="14"/>
        <v>7.5297004852473643E-3</v>
      </c>
      <c r="Z13" s="228">
        <v>1839</v>
      </c>
      <c r="AA13" s="244">
        <f t="shared" si="15"/>
        <v>5.8181473044798789E-3</v>
      </c>
      <c r="AB13" s="366">
        <v>1496</v>
      </c>
      <c r="AC13" s="23">
        <f t="shared" si="16"/>
        <v>5.2234819255653825E-3</v>
      </c>
      <c r="AE13" s="274">
        <f t="shared" si="17"/>
        <v>0</v>
      </c>
    </row>
    <row r="14" spans="1:33" ht="14.65" customHeight="1" x14ac:dyDescent="0.25">
      <c r="A14" t="s">
        <v>168</v>
      </c>
      <c r="B14" s="175">
        <v>3474</v>
      </c>
      <c r="C14" s="176">
        <f t="shared" si="3"/>
        <v>1.895067587470952E-2</v>
      </c>
      <c r="D14">
        <v>3699</v>
      </c>
      <c r="E14" s="176">
        <f t="shared" si="4"/>
        <v>1.8638986168148949E-2</v>
      </c>
      <c r="F14">
        <v>4136</v>
      </c>
      <c r="G14" s="176">
        <f t="shared" si="5"/>
        <v>1.7193072887654742E-2</v>
      </c>
      <c r="H14">
        <v>3951</v>
      </c>
      <c r="I14" s="176">
        <f t="shared" si="6"/>
        <v>1.5358839398863344E-2</v>
      </c>
      <c r="J14" s="18">
        <v>4083</v>
      </c>
      <c r="K14" s="176">
        <f t="shared" si="7"/>
        <v>1.5279716485103867E-2</v>
      </c>
      <c r="L14">
        <v>3673</v>
      </c>
      <c r="M14" s="176">
        <f t="shared" si="8"/>
        <v>1.3493457161120622E-2</v>
      </c>
      <c r="N14" s="18">
        <v>3383</v>
      </c>
      <c r="O14" s="176">
        <f t="shared" si="9"/>
        <v>1.2328447628696166E-2</v>
      </c>
      <c r="P14">
        <v>2904</v>
      </c>
      <c r="Q14" s="176">
        <f t="shared" si="10"/>
        <v>1.0165575664227955E-2</v>
      </c>
      <c r="R14">
        <v>3539</v>
      </c>
      <c r="S14" s="176">
        <f t="shared" si="11"/>
        <v>1.1053054034723892E-2</v>
      </c>
      <c r="T14">
        <v>3332</v>
      </c>
      <c r="U14" s="176">
        <f t="shared" si="12"/>
        <v>1.0417285440499229E-2</v>
      </c>
      <c r="V14">
        <v>3110</v>
      </c>
      <c r="W14" s="176">
        <f t="shared" si="13"/>
        <v>9.4693509688577107E-3</v>
      </c>
      <c r="X14">
        <v>2654</v>
      </c>
      <c r="Y14" s="23">
        <f t="shared" si="14"/>
        <v>8.2237963324471221E-3</v>
      </c>
      <c r="Z14" s="228">
        <v>2210</v>
      </c>
      <c r="AA14" s="244">
        <f t="shared" si="15"/>
        <v>6.9919007846114909E-3</v>
      </c>
      <c r="AB14" s="366">
        <v>1413</v>
      </c>
      <c r="AC14" s="23">
        <f t="shared" si="16"/>
        <v>4.9336764444009931E-3</v>
      </c>
      <c r="AE14" s="274">
        <f t="shared" si="17"/>
        <v>0</v>
      </c>
    </row>
    <row r="15" spans="1:33" ht="14.65" customHeight="1" x14ac:dyDescent="0.25">
      <c r="A15" t="s">
        <v>169</v>
      </c>
      <c r="B15" s="175">
        <v>954</v>
      </c>
      <c r="C15" s="176">
        <f t="shared" si="3"/>
        <v>5.2040716132621999E-3</v>
      </c>
      <c r="D15">
        <v>1176</v>
      </c>
      <c r="E15" s="176">
        <f t="shared" si="4"/>
        <v>5.9257766244236731E-3</v>
      </c>
      <c r="F15">
        <v>1393</v>
      </c>
      <c r="G15" s="176">
        <f t="shared" si="5"/>
        <v>5.7906069952860387E-3</v>
      </c>
      <c r="H15">
        <v>1702</v>
      </c>
      <c r="I15" s="176">
        <f t="shared" si="6"/>
        <v>6.6162350434992188E-3</v>
      </c>
      <c r="J15" s="18">
        <v>1815</v>
      </c>
      <c r="K15" s="176">
        <f t="shared" si="7"/>
        <v>6.7922325301159733E-3</v>
      </c>
      <c r="L15">
        <v>2200</v>
      </c>
      <c r="M15" s="176">
        <f t="shared" si="8"/>
        <v>8.0821142810959343E-3</v>
      </c>
      <c r="N15" s="18">
        <v>2496</v>
      </c>
      <c r="O15" s="176">
        <f t="shared" si="9"/>
        <v>9.0960110201671971E-3</v>
      </c>
      <c r="P15">
        <v>3348</v>
      </c>
      <c r="Q15" s="176">
        <f t="shared" si="10"/>
        <v>1.1719816571568594E-2</v>
      </c>
      <c r="R15">
        <v>5334</v>
      </c>
      <c r="S15" s="176">
        <f t="shared" si="11"/>
        <v>1.6659223006842961E-2</v>
      </c>
      <c r="T15">
        <v>5675</v>
      </c>
      <c r="U15" s="176">
        <f t="shared" si="12"/>
        <v>1.7742525472638992E-2</v>
      </c>
      <c r="V15">
        <v>6498</v>
      </c>
      <c r="W15" s="176">
        <f t="shared" si="13"/>
        <v>1.9785158390880193E-2</v>
      </c>
      <c r="X15">
        <v>8850</v>
      </c>
      <c r="Y15" s="23">
        <f t="shared" si="14"/>
        <v>2.7422983248740401E-2</v>
      </c>
      <c r="Z15" s="228">
        <v>8196</v>
      </c>
      <c r="AA15" s="244">
        <f t="shared" si="15"/>
        <v>2.5930144267274108E-2</v>
      </c>
      <c r="AB15">
        <v>12086</v>
      </c>
      <c r="AC15" s="23">
        <f t="shared" si="16"/>
        <v>4.2199868016298943E-2</v>
      </c>
      <c r="AD15">
        <v>4440</v>
      </c>
      <c r="AE15" s="274">
        <f t="shared" si="17"/>
        <v>7.3369026373190566E-2</v>
      </c>
    </row>
    <row r="16" spans="1:33" ht="14.65" customHeight="1" x14ac:dyDescent="0.25">
      <c r="A16" t="s">
        <v>170</v>
      </c>
      <c r="B16" s="175">
        <v>1792</v>
      </c>
      <c r="C16" s="176">
        <f t="shared" si="3"/>
        <v>9.7753630303625393E-3</v>
      </c>
      <c r="D16">
        <v>1807</v>
      </c>
      <c r="E16" s="176">
        <f t="shared" si="4"/>
        <v>9.1053387417802528E-3</v>
      </c>
      <c r="F16">
        <v>2309</v>
      </c>
      <c r="G16" s="176">
        <f t="shared" si="5"/>
        <v>9.5983571802695355E-3</v>
      </c>
      <c r="H16">
        <v>2596</v>
      </c>
      <c r="I16" s="176">
        <f t="shared" si="6"/>
        <v>1.0091507739673308E-2</v>
      </c>
      <c r="J16" s="18">
        <v>3043</v>
      </c>
      <c r="K16" s="176">
        <f t="shared" si="7"/>
        <v>1.1387748533963033E-2</v>
      </c>
      <c r="L16">
        <v>4441</v>
      </c>
      <c r="M16" s="176">
        <f t="shared" si="8"/>
        <v>1.631484978288502E-2</v>
      </c>
      <c r="N16" s="18">
        <v>5044</v>
      </c>
      <c r="O16" s="176">
        <f t="shared" si="9"/>
        <v>1.8381522269921211E-2</v>
      </c>
      <c r="P16">
        <v>4629</v>
      </c>
      <c r="Q16" s="176">
        <f t="shared" si="10"/>
        <v>1.6204011621801379E-2</v>
      </c>
      <c r="R16">
        <v>4044</v>
      </c>
      <c r="S16" s="176">
        <f t="shared" si="11"/>
        <v>1.2630277060306137E-2</v>
      </c>
      <c r="T16">
        <v>3524</v>
      </c>
      <c r="U16" s="176">
        <f t="shared" si="12"/>
        <v>1.1017561192172655E-2</v>
      </c>
      <c r="V16">
        <v>2975</v>
      </c>
      <c r="W16" s="176">
        <f t="shared" si="13"/>
        <v>9.0583019718172633E-3</v>
      </c>
      <c r="X16">
        <v>2273</v>
      </c>
      <c r="Y16" s="23">
        <f t="shared" si="14"/>
        <v>7.0432136637725348E-3</v>
      </c>
      <c r="Z16" s="228">
        <v>1582</v>
      </c>
      <c r="AA16" s="244">
        <f t="shared" si="15"/>
        <v>5.0050620096178181E-3</v>
      </c>
      <c r="AB16" s="366">
        <v>1079</v>
      </c>
      <c r="AC16" s="23">
        <f t="shared" si="16"/>
        <v>3.7674712551370639E-3</v>
      </c>
      <c r="AE16" s="274">
        <f t="shared" si="17"/>
        <v>0</v>
      </c>
    </row>
    <row r="17" spans="1:33" ht="14.65" customHeight="1" x14ac:dyDescent="0.25">
      <c r="A17" t="s">
        <v>171</v>
      </c>
      <c r="B17" s="177">
        <v>1157</v>
      </c>
      <c r="C17" s="176">
        <f t="shared" si="3"/>
        <v>6.3114369565454567E-3</v>
      </c>
      <c r="D17">
        <v>0</v>
      </c>
      <c r="E17" s="176">
        <f t="shared" si="4"/>
        <v>0</v>
      </c>
      <c r="F17">
        <v>0</v>
      </c>
      <c r="G17" s="176">
        <f t="shared" si="5"/>
        <v>0</v>
      </c>
      <c r="H17">
        <v>0</v>
      </c>
      <c r="I17" s="176">
        <f t="shared" si="6"/>
        <v>0</v>
      </c>
      <c r="J17">
        <v>0</v>
      </c>
      <c r="K17" s="176">
        <f t="shared" si="7"/>
        <v>0</v>
      </c>
      <c r="L17">
        <v>0</v>
      </c>
      <c r="M17" s="176">
        <f t="shared" si="8"/>
        <v>0</v>
      </c>
      <c r="N17">
        <v>0</v>
      </c>
      <c r="O17" s="176">
        <f t="shared" si="9"/>
        <v>0</v>
      </c>
      <c r="P17">
        <v>0</v>
      </c>
      <c r="Q17" s="176">
        <f t="shared" si="10"/>
        <v>0</v>
      </c>
      <c r="R17">
        <v>0</v>
      </c>
      <c r="S17" s="176">
        <f t="shared" si="11"/>
        <v>0</v>
      </c>
      <c r="T17">
        <v>0</v>
      </c>
      <c r="U17" s="176">
        <f t="shared" si="12"/>
        <v>0</v>
      </c>
      <c r="V17">
        <v>0</v>
      </c>
      <c r="W17" s="176">
        <f t="shared" si="13"/>
        <v>0</v>
      </c>
      <c r="X17">
        <v>0</v>
      </c>
      <c r="Y17" s="23">
        <f t="shared" si="14"/>
        <v>0</v>
      </c>
      <c r="Z17" s="229">
        <v>0</v>
      </c>
      <c r="AA17" s="244">
        <f t="shared" si="15"/>
        <v>0</v>
      </c>
      <c r="AB17" s="229">
        <v>0</v>
      </c>
      <c r="AC17" s="23">
        <f t="shared" si="16"/>
        <v>0</v>
      </c>
      <c r="AE17" s="274">
        <f t="shared" si="17"/>
        <v>0</v>
      </c>
    </row>
    <row r="18" spans="1:33" ht="14.65" customHeight="1" x14ac:dyDescent="0.25">
      <c r="A18" t="s">
        <v>172</v>
      </c>
      <c r="B18" s="175">
        <v>0</v>
      </c>
      <c r="C18" s="176">
        <f t="shared" si="3"/>
        <v>0</v>
      </c>
      <c r="D18">
        <v>0</v>
      </c>
      <c r="E18" s="176">
        <f t="shared" si="4"/>
        <v>0</v>
      </c>
      <c r="F18">
        <v>0</v>
      </c>
      <c r="G18" s="176">
        <f t="shared" si="5"/>
        <v>0</v>
      </c>
      <c r="H18">
        <v>850</v>
      </c>
      <c r="I18" s="176">
        <f t="shared" si="6"/>
        <v>3.3042301921118308E-3</v>
      </c>
      <c r="J18" s="18">
        <v>2954</v>
      </c>
      <c r="K18" s="176">
        <f t="shared" si="7"/>
        <v>1.1054685891990405E-2</v>
      </c>
      <c r="L18">
        <v>2733</v>
      </c>
      <c r="M18" s="176">
        <f t="shared" si="8"/>
        <v>1.0040190150106904E-2</v>
      </c>
      <c r="N18" s="18">
        <v>1731</v>
      </c>
      <c r="O18" s="176">
        <f t="shared" si="9"/>
        <v>6.3081711041303758E-3</v>
      </c>
      <c r="P18">
        <v>1972</v>
      </c>
      <c r="Q18" s="176">
        <f t="shared" si="10"/>
        <v>6.9030699758462558E-3</v>
      </c>
      <c r="R18">
        <v>2277</v>
      </c>
      <c r="S18" s="176">
        <f t="shared" si="11"/>
        <v>7.1115580777243014E-3</v>
      </c>
      <c r="T18">
        <v>2120</v>
      </c>
      <c r="U18" s="176">
        <f t="shared" si="12"/>
        <v>6.6280447580607344E-3</v>
      </c>
      <c r="V18">
        <v>1648</v>
      </c>
      <c r="W18" s="176">
        <f t="shared" si="13"/>
        <v>5.0178425712789406E-3</v>
      </c>
      <c r="X18">
        <v>1125</v>
      </c>
      <c r="Y18" s="23">
        <f t="shared" si="14"/>
        <v>3.4859724468737801E-3</v>
      </c>
      <c r="Z18" s="229">
        <v>0</v>
      </c>
      <c r="AA18" s="244">
        <f t="shared" si="15"/>
        <v>0</v>
      </c>
      <c r="AB18" s="366">
        <v>305</v>
      </c>
      <c r="AC18" s="23">
        <f t="shared" si="16"/>
        <v>1.064947852471552E-3</v>
      </c>
      <c r="AE18" s="274">
        <f t="shared" si="17"/>
        <v>0</v>
      </c>
    </row>
    <row r="19" spans="1:33" ht="14.65" customHeight="1" x14ac:dyDescent="0.25">
      <c r="A19" t="s">
        <v>173</v>
      </c>
      <c r="B19" s="175">
        <v>0</v>
      </c>
      <c r="C19" s="176">
        <f t="shared" si="3"/>
        <v>0</v>
      </c>
      <c r="D19">
        <v>0</v>
      </c>
      <c r="E19" s="176">
        <f t="shared" si="4"/>
        <v>0</v>
      </c>
      <c r="F19">
        <v>0</v>
      </c>
      <c r="G19" s="176">
        <f t="shared" si="5"/>
        <v>0</v>
      </c>
      <c r="H19">
        <v>0</v>
      </c>
      <c r="I19" s="176">
        <f t="shared" si="6"/>
        <v>0</v>
      </c>
      <c r="J19">
        <v>0</v>
      </c>
      <c r="K19" s="176">
        <f t="shared" si="7"/>
        <v>0</v>
      </c>
      <c r="L19">
        <v>0</v>
      </c>
      <c r="M19" s="176">
        <f t="shared" si="8"/>
        <v>0</v>
      </c>
      <c r="N19">
        <v>0</v>
      </c>
      <c r="O19" s="176">
        <f t="shared" si="9"/>
        <v>0</v>
      </c>
      <c r="P19">
        <v>0</v>
      </c>
      <c r="Q19" s="176">
        <f t="shared" si="10"/>
        <v>0</v>
      </c>
      <c r="R19">
        <v>926</v>
      </c>
      <c r="S19" s="176">
        <f t="shared" si="11"/>
        <v>2.8920960825527899E-3</v>
      </c>
      <c r="T19">
        <v>874</v>
      </c>
      <c r="U19" s="176">
        <f t="shared" si="12"/>
        <v>2.7325052445967366E-3</v>
      </c>
      <c r="V19">
        <v>1196</v>
      </c>
      <c r="W19" s="176">
        <f t="shared" si="13"/>
        <v>3.6415896330398139E-3</v>
      </c>
      <c r="X19">
        <v>1135</v>
      </c>
      <c r="Y19" s="23">
        <f t="shared" si="14"/>
        <v>3.516958868623769E-3</v>
      </c>
      <c r="Z19" s="228">
        <v>1408</v>
      </c>
      <c r="AA19" s="244">
        <f t="shared" si="15"/>
        <v>4.4545684636800812E-3</v>
      </c>
      <c r="AB19" s="366">
        <v>959</v>
      </c>
      <c r="AC19" s="23">
        <f t="shared" si="16"/>
        <v>3.348475378754814E-3</v>
      </c>
      <c r="AE19" s="274">
        <f t="shared" si="17"/>
        <v>0</v>
      </c>
    </row>
    <row r="20" spans="1:33" ht="14.65" customHeight="1" x14ac:dyDescent="0.25">
      <c r="A20" t="s">
        <v>174</v>
      </c>
      <c r="B20" s="177">
        <v>604</v>
      </c>
      <c r="C20" s="176">
        <f t="shared" si="3"/>
        <v>3.2948210213945167E-3</v>
      </c>
      <c r="D20">
        <v>368</v>
      </c>
      <c r="E20" s="176">
        <f t="shared" si="4"/>
        <v>1.854324657982918E-3</v>
      </c>
      <c r="F20">
        <v>0</v>
      </c>
      <c r="G20" s="176">
        <f t="shared" si="5"/>
        <v>0</v>
      </c>
      <c r="H20">
        <v>0</v>
      </c>
      <c r="I20" s="176">
        <f t="shared" si="6"/>
        <v>0</v>
      </c>
      <c r="J20">
        <v>0</v>
      </c>
      <c r="K20" s="176">
        <f t="shared" si="7"/>
        <v>0</v>
      </c>
      <c r="L20">
        <v>0</v>
      </c>
      <c r="M20" s="176">
        <f t="shared" si="8"/>
        <v>0</v>
      </c>
      <c r="N20">
        <v>0</v>
      </c>
      <c r="O20" s="176">
        <f t="shared" si="9"/>
        <v>0</v>
      </c>
      <c r="P20">
        <v>0</v>
      </c>
      <c r="Q20" s="176">
        <f t="shared" si="10"/>
        <v>0</v>
      </c>
      <c r="R20">
        <v>0</v>
      </c>
      <c r="S20" s="176">
        <f t="shared" si="11"/>
        <v>0</v>
      </c>
      <c r="T20">
        <v>0</v>
      </c>
      <c r="U20" s="176">
        <f t="shared" si="12"/>
        <v>0</v>
      </c>
      <c r="V20">
        <v>0</v>
      </c>
      <c r="W20" s="176">
        <f t="shared" si="13"/>
        <v>0</v>
      </c>
      <c r="X20">
        <v>0</v>
      </c>
      <c r="Y20" s="23">
        <f t="shared" si="14"/>
        <v>0</v>
      </c>
      <c r="Z20" s="229">
        <v>0</v>
      </c>
      <c r="AA20" s="244">
        <f t="shared" si="15"/>
        <v>0</v>
      </c>
      <c r="AB20" s="366">
        <v>0</v>
      </c>
      <c r="AC20" s="23">
        <f t="shared" si="16"/>
        <v>0</v>
      </c>
      <c r="AE20" s="274">
        <f t="shared" si="17"/>
        <v>0</v>
      </c>
    </row>
    <row r="21" spans="1:33" ht="14.25" customHeight="1" x14ac:dyDescent="0.25">
      <c r="A21" t="s">
        <v>175</v>
      </c>
      <c r="B21" s="177">
        <v>0</v>
      </c>
      <c r="C21" s="176">
        <f t="shared" si="3"/>
        <v>0</v>
      </c>
      <c r="D21">
        <v>0</v>
      </c>
      <c r="E21" s="176">
        <f t="shared" si="4"/>
        <v>0</v>
      </c>
      <c r="F21">
        <v>0</v>
      </c>
      <c r="G21" s="176">
        <f t="shared" si="5"/>
        <v>0</v>
      </c>
      <c r="H21">
        <v>459</v>
      </c>
      <c r="I21" s="176">
        <f t="shared" si="6"/>
        <v>1.7842843037403887E-3</v>
      </c>
      <c r="J21">
        <v>0</v>
      </c>
      <c r="K21" s="176">
        <f t="shared" si="7"/>
        <v>0</v>
      </c>
      <c r="L21">
        <v>0</v>
      </c>
      <c r="M21" s="176">
        <f t="shared" si="8"/>
        <v>0</v>
      </c>
      <c r="N21">
        <v>0</v>
      </c>
      <c r="O21" s="176">
        <f t="shared" si="9"/>
        <v>0</v>
      </c>
      <c r="P21">
        <v>0</v>
      </c>
      <c r="Q21" s="176">
        <f t="shared" si="10"/>
        <v>0</v>
      </c>
      <c r="R21">
        <v>0</v>
      </c>
      <c r="S21" s="176">
        <f t="shared" si="11"/>
        <v>0</v>
      </c>
      <c r="T21">
        <v>0</v>
      </c>
      <c r="U21" s="176">
        <f t="shared" si="12"/>
        <v>0</v>
      </c>
      <c r="V21">
        <v>0</v>
      </c>
      <c r="W21" s="176">
        <f t="shared" si="13"/>
        <v>0</v>
      </c>
      <c r="X21">
        <v>0</v>
      </c>
      <c r="Y21" s="23">
        <f t="shared" si="14"/>
        <v>0</v>
      </c>
      <c r="Z21" s="229">
        <v>0</v>
      </c>
      <c r="AA21" s="244">
        <f t="shared" si="15"/>
        <v>0</v>
      </c>
      <c r="AB21" s="366">
        <v>0</v>
      </c>
      <c r="AC21" s="23">
        <f t="shared" si="16"/>
        <v>0</v>
      </c>
      <c r="AE21" s="274">
        <f t="shared" si="17"/>
        <v>0</v>
      </c>
    </row>
    <row r="22" spans="1:33" ht="14.65" customHeight="1" x14ac:dyDescent="0.25">
      <c r="A22" s="363" t="s">
        <v>176</v>
      </c>
      <c r="B22" s="177">
        <v>966</v>
      </c>
      <c r="C22" s="176">
        <f t="shared" si="3"/>
        <v>5.2695316335548067E-3</v>
      </c>
      <c r="D22">
        <v>543</v>
      </c>
      <c r="E22" s="176">
        <f t="shared" si="4"/>
        <v>2.7361366556650124E-3</v>
      </c>
      <c r="F22">
        <v>652</v>
      </c>
      <c r="G22" s="176">
        <f t="shared" si="5"/>
        <v>2.710320000665109E-3</v>
      </c>
      <c r="H22">
        <v>678</v>
      </c>
      <c r="I22" s="176">
        <f t="shared" si="6"/>
        <v>2.6356094944139075E-3</v>
      </c>
      <c r="J22">
        <v>648</v>
      </c>
      <c r="K22" s="176">
        <f t="shared" si="7"/>
        <v>2.424995415710827E-3</v>
      </c>
      <c r="L22">
        <v>0</v>
      </c>
      <c r="M22" s="176">
        <f t="shared" si="8"/>
        <v>0</v>
      </c>
      <c r="N22">
        <v>978</v>
      </c>
      <c r="O22" s="176">
        <f t="shared" si="9"/>
        <v>3.564062010305897E-3</v>
      </c>
      <c r="P22">
        <v>4697</v>
      </c>
      <c r="Q22" s="176">
        <f t="shared" si="10"/>
        <v>1.6442048517520215E-2</v>
      </c>
      <c r="R22">
        <v>14440</v>
      </c>
      <c r="S22" s="176">
        <f t="shared" si="11"/>
        <v>4.509920888991608E-2</v>
      </c>
      <c r="T22">
        <v>34199</v>
      </c>
      <c r="U22" s="176">
        <f t="shared" si="12"/>
        <v>0.10692099183062219</v>
      </c>
      <c r="V22">
        <v>56530</v>
      </c>
      <c r="W22" s="176">
        <f t="shared" si="13"/>
        <v>0.17212296150145542</v>
      </c>
      <c r="X22">
        <v>83765</v>
      </c>
      <c r="Y22" s="23">
        <f t="shared" si="14"/>
        <v>0.25955776178878415</v>
      </c>
      <c r="Z22" s="228">
        <v>98954</v>
      </c>
      <c r="AA22" s="244">
        <f t="shared" si="15"/>
        <v>0.31306631232599341</v>
      </c>
      <c r="AB22">
        <v>117045</v>
      </c>
      <c r="AC22" s="23">
        <f t="shared" si="16"/>
        <v>0.40867810292633705</v>
      </c>
      <c r="AD22">
        <v>31120</v>
      </c>
      <c r="AE22" s="274">
        <f t="shared" si="17"/>
        <v>0.51424416683191221</v>
      </c>
    </row>
    <row r="23" spans="1:33" ht="14.65" customHeight="1" x14ac:dyDescent="0.25">
      <c r="A23" s="363" t="s">
        <v>177</v>
      </c>
      <c r="B23" s="177">
        <v>0</v>
      </c>
      <c r="C23" s="176">
        <f t="shared" si="3"/>
        <v>0</v>
      </c>
      <c r="D23">
        <v>0</v>
      </c>
      <c r="E23" s="176">
        <f t="shared" si="4"/>
        <v>0</v>
      </c>
      <c r="F23">
        <v>0</v>
      </c>
      <c r="G23" s="176">
        <f t="shared" si="5"/>
        <v>0</v>
      </c>
      <c r="H23">
        <v>0</v>
      </c>
      <c r="I23" s="176">
        <f t="shared" si="6"/>
        <v>0</v>
      </c>
      <c r="J23">
        <v>0</v>
      </c>
      <c r="K23" s="176">
        <f t="shared" si="7"/>
        <v>0</v>
      </c>
      <c r="L23">
        <v>0</v>
      </c>
      <c r="M23" s="176">
        <f t="shared" si="8"/>
        <v>0</v>
      </c>
      <c r="N23">
        <v>0</v>
      </c>
      <c r="O23" s="176">
        <f t="shared" si="9"/>
        <v>0</v>
      </c>
      <c r="P23">
        <v>0</v>
      </c>
      <c r="Q23" s="176">
        <f t="shared" si="10"/>
        <v>0</v>
      </c>
      <c r="R23">
        <v>0</v>
      </c>
      <c r="S23" s="176">
        <f t="shared" si="11"/>
        <v>0</v>
      </c>
      <c r="T23">
        <v>0</v>
      </c>
      <c r="U23" s="176">
        <f t="shared" si="12"/>
        <v>0</v>
      </c>
      <c r="V23">
        <v>0</v>
      </c>
      <c r="W23" s="176">
        <f t="shared" si="13"/>
        <v>0</v>
      </c>
      <c r="X23">
        <v>0</v>
      </c>
      <c r="Y23" s="23">
        <f t="shared" si="14"/>
        <v>0</v>
      </c>
      <c r="Z23" s="228">
        <v>0</v>
      </c>
      <c r="AA23" s="244">
        <f t="shared" si="15"/>
        <v>0</v>
      </c>
      <c r="AB23">
        <v>2428</v>
      </c>
      <c r="AC23" s="23">
        <f t="shared" si="16"/>
        <v>8.4776832321341901E-3</v>
      </c>
      <c r="AE23" s="274">
        <f t="shared" si="17"/>
        <v>0</v>
      </c>
    </row>
    <row r="24" spans="1:33" ht="14.65" customHeight="1" x14ac:dyDescent="0.25">
      <c r="A24" s="363" t="s">
        <v>178</v>
      </c>
      <c r="B24" s="175">
        <v>0</v>
      </c>
      <c r="C24" s="176">
        <f t="shared" si="3"/>
        <v>0</v>
      </c>
      <c r="D24">
        <v>0</v>
      </c>
      <c r="E24" s="176">
        <f t="shared" si="4"/>
        <v>0</v>
      </c>
      <c r="F24">
        <v>0</v>
      </c>
      <c r="G24" s="176">
        <f t="shared" si="5"/>
        <v>0</v>
      </c>
      <c r="H24">
        <v>0</v>
      </c>
      <c r="I24" s="176">
        <f t="shared" si="6"/>
        <v>0</v>
      </c>
      <c r="J24">
        <v>0</v>
      </c>
      <c r="K24" s="176">
        <f t="shared" si="7"/>
        <v>0</v>
      </c>
      <c r="L24">
        <v>0</v>
      </c>
      <c r="M24" s="176">
        <f t="shared" si="8"/>
        <v>0</v>
      </c>
      <c r="N24">
        <v>0</v>
      </c>
      <c r="O24" s="176">
        <f t="shared" si="9"/>
        <v>0</v>
      </c>
      <c r="P24">
        <v>0</v>
      </c>
      <c r="Q24" s="176">
        <f t="shared" si="10"/>
        <v>0</v>
      </c>
      <c r="R24">
        <v>2412</v>
      </c>
      <c r="S24" s="176">
        <f t="shared" si="11"/>
        <v>7.5331919558502478E-3</v>
      </c>
      <c r="T24">
        <v>1669</v>
      </c>
      <c r="U24" s="176">
        <f t="shared" si="12"/>
        <v>5.2180220288695119E-3</v>
      </c>
      <c r="V24">
        <v>1376</v>
      </c>
      <c r="W24" s="176">
        <f t="shared" si="13"/>
        <v>4.1896549624270765E-3</v>
      </c>
      <c r="X24">
        <v>7148</v>
      </c>
      <c r="Y24" s="23">
        <f t="shared" si="14"/>
        <v>2.2149094266892249E-2</v>
      </c>
      <c r="Z24" s="228">
        <v>12190</v>
      </c>
      <c r="AA24" s="244">
        <f t="shared" si="15"/>
        <v>3.8566185775752972E-2</v>
      </c>
      <c r="AB24" s="20">
        <v>4527</v>
      </c>
      <c r="AC24" s="23">
        <f t="shared" si="16"/>
        <v>1.580661943652038E-2</v>
      </c>
      <c r="AD24" s="20"/>
      <c r="AE24" s="274">
        <f t="shared" si="17"/>
        <v>0</v>
      </c>
      <c r="AF24" s="26"/>
      <c r="AG24" s="26"/>
    </row>
    <row r="25" spans="1:33" ht="14.65" customHeight="1" x14ac:dyDescent="0.25">
      <c r="A25" s="363" t="s">
        <v>179</v>
      </c>
      <c r="B25" s="175">
        <v>0</v>
      </c>
      <c r="C25" s="176">
        <f t="shared" si="3"/>
        <v>0</v>
      </c>
      <c r="D25">
        <v>0</v>
      </c>
      <c r="E25" s="176">
        <f t="shared" si="4"/>
        <v>0</v>
      </c>
      <c r="F25">
        <v>0</v>
      </c>
      <c r="G25" s="176">
        <f t="shared" si="5"/>
        <v>0</v>
      </c>
      <c r="H25">
        <v>0</v>
      </c>
      <c r="I25" s="176">
        <f t="shared" si="6"/>
        <v>0</v>
      </c>
      <c r="J25">
        <v>0</v>
      </c>
      <c r="K25" s="176">
        <f t="shared" si="7"/>
        <v>0</v>
      </c>
      <c r="L25">
        <v>0</v>
      </c>
      <c r="M25" s="176">
        <f t="shared" si="8"/>
        <v>0</v>
      </c>
      <c r="N25">
        <v>0</v>
      </c>
      <c r="O25" s="176">
        <f t="shared" si="9"/>
        <v>0</v>
      </c>
      <c r="P25">
        <v>0</v>
      </c>
      <c r="Q25" s="176">
        <f t="shared" si="10"/>
        <v>0</v>
      </c>
      <c r="R25">
        <v>0</v>
      </c>
      <c r="S25" s="176">
        <f t="shared" si="11"/>
        <v>0</v>
      </c>
      <c r="T25">
        <v>0</v>
      </c>
      <c r="U25" s="176">
        <f t="shared" si="12"/>
        <v>0</v>
      </c>
      <c r="V25">
        <v>0</v>
      </c>
      <c r="W25" s="176">
        <f t="shared" si="13"/>
        <v>0</v>
      </c>
      <c r="X25">
        <v>1643</v>
      </c>
      <c r="Y25" s="23">
        <f t="shared" si="14"/>
        <v>5.091069093523218E-3</v>
      </c>
      <c r="Z25" s="229">
        <v>0</v>
      </c>
      <c r="AA25" s="244">
        <f t="shared" si="15"/>
        <v>0</v>
      </c>
      <c r="AB25" s="442">
        <v>0</v>
      </c>
      <c r="AC25" s="23">
        <f t="shared" si="16"/>
        <v>0</v>
      </c>
      <c r="AE25" s="274">
        <f t="shared" si="17"/>
        <v>0</v>
      </c>
    </row>
    <row r="26" spans="1:33" ht="14.65" customHeight="1" x14ac:dyDescent="0.25">
      <c r="A26" s="363" t="s">
        <v>180</v>
      </c>
      <c r="B26" s="175">
        <v>0</v>
      </c>
      <c r="C26" s="176">
        <f t="shared" si="3"/>
        <v>0</v>
      </c>
      <c r="D26">
        <v>0</v>
      </c>
      <c r="E26" s="176">
        <f t="shared" si="4"/>
        <v>0</v>
      </c>
      <c r="F26">
        <v>0</v>
      </c>
      <c r="G26" s="176">
        <f t="shared" si="5"/>
        <v>0</v>
      </c>
      <c r="H26">
        <v>0</v>
      </c>
      <c r="I26" s="176">
        <f t="shared" si="6"/>
        <v>0</v>
      </c>
      <c r="J26">
        <v>0</v>
      </c>
      <c r="K26" s="176">
        <f t="shared" si="7"/>
        <v>0</v>
      </c>
      <c r="L26">
        <v>0</v>
      </c>
      <c r="M26" s="176">
        <f t="shared" si="8"/>
        <v>0</v>
      </c>
      <c r="N26">
        <v>0</v>
      </c>
      <c r="O26" s="176">
        <f t="shared" si="9"/>
        <v>0</v>
      </c>
      <c r="P26">
        <v>0</v>
      </c>
      <c r="Q26" s="176">
        <f t="shared" si="10"/>
        <v>0</v>
      </c>
      <c r="R26">
        <v>0</v>
      </c>
      <c r="S26" s="176">
        <f t="shared" si="11"/>
        <v>0</v>
      </c>
      <c r="T26">
        <v>0</v>
      </c>
      <c r="U26" s="176">
        <f t="shared" si="12"/>
        <v>0</v>
      </c>
      <c r="V26">
        <v>0</v>
      </c>
      <c r="W26" s="176">
        <f t="shared" si="13"/>
        <v>0</v>
      </c>
      <c r="X26">
        <v>1057</v>
      </c>
      <c r="Y26" s="23">
        <f t="shared" si="14"/>
        <v>3.2752647789738537E-3</v>
      </c>
      <c r="Z26" s="229">
        <v>0</v>
      </c>
      <c r="AA26" s="244">
        <f t="shared" si="15"/>
        <v>0</v>
      </c>
      <c r="AB26" s="442">
        <v>0</v>
      </c>
      <c r="AC26" s="23">
        <f t="shared" si="16"/>
        <v>0</v>
      </c>
      <c r="AE26" s="274">
        <f t="shared" si="17"/>
        <v>0</v>
      </c>
    </row>
    <row r="27" spans="1:33" ht="14.65" customHeight="1" x14ac:dyDescent="0.25">
      <c r="A27" s="363" t="s">
        <v>181</v>
      </c>
      <c r="B27" s="175">
        <v>0</v>
      </c>
      <c r="C27" s="176">
        <f t="shared" si="3"/>
        <v>0</v>
      </c>
      <c r="D27">
        <v>0</v>
      </c>
      <c r="E27" s="176">
        <f t="shared" si="4"/>
        <v>0</v>
      </c>
      <c r="F27">
        <v>0</v>
      </c>
      <c r="G27" s="176">
        <f t="shared" si="5"/>
        <v>0</v>
      </c>
      <c r="H27">
        <v>0</v>
      </c>
      <c r="I27" s="176">
        <f t="shared" si="6"/>
        <v>0</v>
      </c>
      <c r="J27">
        <v>0</v>
      </c>
      <c r="K27" s="176">
        <f t="shared" si="7"/>
        <v>0</v>
      </c>
      <c r="L27">
        <v>0</v>
      </c>
      <c r="M27" s="176">
        <f t="shared" si="8"/>
        <v>0</v>
      </c>
      <c r="N27">
        <v>0</v>
      </c>
      <c r="O27" s="176">
        <f t="shared" si="9"/>
        <v>0</v>
      </c>
      <c r="P27">
        <v>0</v>
      </c>
      <c r="Q27" s="176">
        <f t="shared" si="10"/>
        <v>0</v>
      </c>
      <c r="R27">
        <v>0</v>
      </c>
      <c r="S27" s="176">
        <f t="shared" si="11"/>
        <v>0</v>
      </c>
      <c r="T27">
        <v>0</v>
      </c>
      <c r="U27" s="176">
        <f t="shared" si="12"/>
        <v>0</v>
      </c>
      <c r="V27">
        <v>1119</v>
      </c>
      <c r="W27" s="176">
        <f t="shared" si="13"/>
        <v>3.4071394643574848E-3</v>
      </c>
      <c r="X27">
        <v>1011</v>
      </c>
      <c r="Y27" s="23">
        <f t="shared" si="14"/>
        <v>3.1327272389239037E-3</v>
      </c>
      <c r="Z27" s="229">
        <v>0</v>
      </c>
      <c r="AA27" s="244">
        <f t="shared" si="15"/>
        <v>0</v>
      </c>
      <c r="AB27" s="442">
        <v>0</v>
      </c>
      <c r="AC27" s="23">
        <f t="shared" si="16"/>
        <v>0</v>
      </c>
      <c r="AE27" s="274">
        <f t="shared" si="17"/>
        <v>0</v>
      </c>
    </row>
    <row r="28" spans="1:33" ht="14.65" customHeight="1" x14ac:dyDescent="0.25">
      <c r="A28" s="363" t="s">
        <v>182</v>
      </c>
      <c r="B28" s="175">
        <v>0</v>
      </c>
      <c r="C28" s="176">
        <f t="shared" si="3"/>
        <v>0</v>
      </c>
      <c r="D28">
        <v>0</v>
      </c>
      <c r="E28" s="176">
        <f t="shared" si="4"/>
        <v>0</v>
      </c>
      <c r="F28">
        <v>0</v>
      </c>
      <c r="G28" s="176">
        <f t="shared" si="5"/>
        <v>0</v>
      </c>
      <c r="H28">
        <v>0</v>
      </c>
      <c r="I28" s="176">
        <f t="shared" si="6"/>
        <v>0</v>
      </c>
      <c r="J28">
        <v>0</v>
      </c>
      <c r="K28" s="176">
        <f t="shared" si="7"/>
        <v>0</v>
      </c>
      <c r="L28">
        <v>0</v>
      </c>
      <c r="M28" s="176">
        <f t="shared" si="8"/>
        <v>0</v>
      </c>
      <c r="N28">
        <v>0</v>
      </c>
      <c r="O28" s="176">
        <f t="shared" si="9"/>
        <v>0</v>
      </c>
      <c r="P28">
        <v>0</v>
      </c>
      <c r="Q28" s="176">
        <f t="shared" si="10"/>
        <v>0</v>
      </c>
      <c r="R28">
        <v>0</v>
      </c>
      <c r="S28" s="176">
        <f t="shared" si="11"/>
        <v>0</v>
      </c>
      <c r="T28">
        <v>0</v>
      </c>
      <c r="U28" s="176">
        <f t="shared" si="12"/>
        <v>0</v>
      </c>
      <c r="V28">
        <v>1434</v>
      </c>
      <c r="W28" s="176">
        <f t="shared" si="13"/>
        <v>4.3662537907851948E-3</v>
      </c>
      <c r="X28">
        <v>876</v>
      </c>
      <c r="Y28" s="23">
        <f t="shared" si="14"/>
        <v>2.7144105452990498E-3</v>
      </c>
      <c r="Z28" s="229">
        <v>0</v>
      </c>
      <c r="AA28" s="244">
        <f t="shared" si="15"/>
        <v>0</v>
      </c>
      <c r="AB28" s="442">
        <v>0</v>
      </c>
      <c r="AC28" s="23">
        <f t="shared" si="16"/>
        <v>0</v>
      </c>
      <c r="AE28" s="274">
        <f t="shared" si="17"/>
        <v>0</v>
      </c>
    </row>
    <row r="29" spans="1:33" ht="14.65" customHeight="1" x14ac:dyDescent="0.25">
      <c r="A29" s="363" t="s">
        <v>183</v>
      </c>
      <c r="B29" s="175">
        <v>0</v>
      </c>
      <c r="C29" s="176">
        <f t="shared" si="3"/>
        <v>0</v>
      </c>
      <c r="D29">
        <v>0</v>
      </c>
      <c r="E29" s="176">
        <f t="shared" si="4"/>
        <v>0</v>
      </c>
      <c r="F29">
        <v>0</v>
      </c>
      <c r="G29" s="176">
        <f t="shared" si="5"/>
        <v>0</v>
      </c>
      <c r="H29">
        <v>0</v>
      </c>
      <c r="I29" s="176">
        <f t="shared" si="6"/>
        <v>0</v>
      </c>
      <c r="J29">
        <v>0</v>
      </c>
      <c r="K29" s="176">
        <f t="shared" si="7"/>
        <v>0</v>
      </c>
      <c r="L29">
        <v>0</v>
      </c>
      <c r="M29" s="176">
        <f t="shared" si="8"/>
        <v>0</v>
      </c>
      <c r="N29">
        <v>0</v>
      </c>
      <c r="O29" s="176">
        <f t="shared" si="9"/>
        <v>0</v>
      </c>
      <c r="P29">
        <v>0</v>
      </c>
      <c r="Q29" s="176">
        <f t="shared" si="10"/>
        <v>0</v>
      </c>
      <c r="R29">
        <v>0</v>
      </c>
      <c r="S29" s="176">
        <f t="shared" si="11"/>
        <v>0</v>
      </c>
      <c r="T29">
        <v>1251</v>
      </c>
      <c r="U29" s="176">
        <f t="shared" si="12"/>
        <v>3.91117169449716E-3</v>
      </c>
      <c r="V29">
        <v>6213</v>
      </c>
      <c r="W29" s="176">
        <f t="shared" si="13"/>
        <v>1.8917388286017026E-2</v>
      </c>
      <c r="X29">
        <v>791</v>
      </c>
      <c r="Y29" s="23">
        <f t="shared" si="14"/>
        <v>2.451025960424142E-3</v>
      </c>
      <c r="Z29" s="228">
        <v>3288</v>
      </c>
      <c r="AA29" s="244">
        <f t="shared" si="15"/>
        <v>1.0402429764616554E-2</v>
      </c>
      <c r="AB29">
        <v>1394</v>
      </c>
      <c r="AC29" s="23">
        <f t="shared" si="16"/>
        <v>4.8673354306404699E-3</v>
      </c>
      <c r="AE29" s="274">
        <f t="shared" si="17"/>
        <v>0</v>
      </c>
    </row>
    <row r="30" spans="1:33" ht="14.65" customHeight="1" x14ac:dyDescent="0.25">
      <c r="A30" s="363" t="s">
        <v>184</v>
      </c>
      <c r="B30" s="177">
        <v>0</v>
      </c>
      <c r="C30" s="176">
        <f t="shared" si="3"/>
        <v>0</v>
      </c>
      <c r="D30">
        <v>0</v>
      </c>
      <c r="E30" s="176">
        <f t="shared" si="4"/>
        <v>0</v>
      </c>
      <c r="F30">
        <v>0</v>
      </c>
      <c r="G30" s="176">
        <f t="shared" si="5"/>
        <v>0</v>
      </c>
      <c r="H30">
        <v>0</v>
      </c>
      <c r="I30" s="176">
        <f t="shared" si="6"/>
        <v>0</v>
      </c>
      <c r="J30">
        <v>0</v>
      </c>
      <c r="K30" s="176">
        <f t="shared" si="7"/>
        <v>0</v>
      </c>
      <c r="L30">
        <v>0</v>
      </c>
      <c r="M30" s="176">
        <f t="shared" si="8"/>
        <v>0</v>
      </c>
      <c r="N30">
        <v>0</v>
      </c>
      <c r="O30" s="176">
        <f t="shared" si="9"/>
        <v>0</v>
      </c>
      <c r="P30">
        <v>0</v>
      </c>
      <c r="Q30" s="176">
        <f t="shared" si="10"/>
        <v>0</v>
      </c>
      <c r="R30">
        <v>0</v>
      </c>
      <c r="S30" s="176">
        <f t="shared" si="11"/>
        <v>0</v>
      </c>
      <c r="T30">
        <v>2273</v>
      </c>
      <c r="U30" s="176">
        <f t="shared" si="12"/>
        <v>7.1063894976754948E-3</v>
      </c>
      <c r="V30">
        <v>4970</v>
      </c>
      <c r="W30" s="176">
        <f t="shared" si="13"/>
        <v>1.5132692705859428E-2</v>
      </c>
      <c r="X30">
        <v>0</v>
      </c>
      <c r="Y30" s="23">
        <f t="shared" si="14"/>
        <v>0</v>
      </c>
      <c r="Z30" s="229">
        <v>0</v>
      </c>
      <c r="AA30" s="244">
        <f t="shared" si="15"/>
        <v>0</v>
      </c>
      <c r="AB30" s="442">
        <v>0</v>
      </c>
      <c r="AC30" s="23">
        <f t="shared" si="16"/>
        <v>0</v>
      </c>
      <c r="AE30" s="274">
        <f t="shared" si="17"/>
        <v>0</v>
      </c>
    </row>
    <row r="31" spans="1:33" ht="14.65" customHeight="1" x14ac:dyDescent="0.25">
      <c r="A31" s="363" t="s">
        <v>185</v>
      </c>
      <c r="B31" s="177">
        <v>0</v>
      </c>
      <c r="C31" s="176">
        <f t="shared" si="3"/>
        <v>0</v>
      </c>
      <c r="D31">
        <v>0</v>
      </c>
      <c r="E31" s="176">
        <f t="shared" si="4"/>
        <v>0</v>
      </c>
      <c r="F31">
        <v>0</v>
      </c>
      <c r="G31" s="176">
        <f t="shared" si="5"/>
        <v>0</v>
      </c>
      <c r="H31">
        <v>0</v>
      </c>
      <c r="I31" s="176">
        <f t="shared" si="6"/>
        <v>0</v>
      </c>
      <c r="J31">
        <v>0</v>
      </c>
      <c r="K31" s="176">
        <f t="shared" si="7"/>
        <v>0</v>
      </c>
      <c r="L31">
        <v>0</v>
      </c>
      <c r="M31" s="176">
        <f t="shared" si="8"/>
        <v>0</v>
      </c>
      <c r="N31">
        <v>0</v>
      </c>
      <c r="O31" s="176">
        <f t="shared" si="9"/>
        <v>0</v>
      </c>
      <c r="P31">
        <v>0</v>
      </c>
      <c r="Q31" s="176">
        <f t="shared" si="10"/>
        <v>0</v>
      </c>
      <c r="R31">
        <v>0</v>
      </c>
      <c r="S31" s="176">
        <f t="shared" si="11"/>
        <v>0</v>
      </c>
      <c r="T31">
        <v>0</v>
      </c>
      <c r="U31" s="176">
        <f t="shared" si="12"/>
        <v>0</v>
      </c>
      <c r="V31">
        <v>2194</v>
      </c>
      <c r="W31" s="176">
        <f t="shared" si="13"/>
        <v>6.6803074037536389E-3</v>
      </c>
      <c r="X31">
        <v>0</v>
      </c>
      <c r="Y31" s="23">
        <f t="shared" si="14"/>
        <v>0</v>
      </c>
      <c r="Z31" s="229">
        <v>0</v>
      </c>
      <c r="AA31" s="244">
        <f t="shared" si="15"/>
        <v>0</v>
      </c>
      <c r="AB31" s="442">
        <v>0</v>
      </c>
      <c r="AC31" s="23">
        <f t="shared" si="16"/>
        <v>0</v>
      </c>
      <c r="AE31" s="274">
        <f t="shared" si="17"/>
        <v>0</v>
      </c>
    </row>
    <row r="32" spans="1:33" ht="14.65" customHeight="1" x14ac:dyDescent="0.25">
      <c r="A32" s="363" t="s">
        <v>186</v>
      </c>
      <c r="B32" s="177">
        <v>0</v>
      </c>
      <c r="C32" s="176">
        <f t="shared" si="3"/>
        <v>0</v>
      </c>
      <c r="D32">
        <v>0</v>
      </c>
      <c r="E32" s="176">
        <f t="shared" si="4"/>
        <v>0</v>
      </c>
      <c r="F32">
        <v>0</v>
      </c>
      <c r="G32" s="176">
        <f t="shared" si="5"/>
        <v>0</v>
      </c>
      <c r="H32">
        <v>0</v>
      </c>
      <c r="I32" s="176">
        <f t="shared" si="6"/>
        <v>0</v>
      </c>
      <c r="J32">
        <v>0</v>
      </c>
      <c r="K32" s="176">
        <f t="shared" si="7"/>
        <v>0</v>
      </c>
      <c r="L32">
        <v>0</v>
      </c>
      <c r="M32" s="176">
        <f t="shared" si="8"/>
        <v>0</v>
      </c>
      <c r="N32">
        <v>0</v>
      </c>
      <c r="O32" s="176">
        <f t="shared" si="9"/>
        <v>0</v>
      </c>
      <c r="P32">
        <v>0</v>
      </c>
      <c r="Q32" s="176">
        <f t="shared" si="10"/>
        <v>0</v>
      </c>
      <c r="R32">
        <v>0</v>
      </c>
      <c r="S32" s="176">
        <f t="shared" si="11"/>
        <v>0</v>
      </c>
      <c r="T32">
        <v>0</v>
      </c>
      <c r="U32" s="176">
        <f t="shared" si="12"/>
        <v>0</v>
      </c>
      <c r="V32">
        <v>788</v>
      </c>
      <c r="W32" s="176">
        <f t="shared" si="13"/>
        <v>2.3993082197620178E-3</v>
      </c>
      <c r="X32">
        <v>0</v>
      </c>
      <c r="Y32" s="23">
        <f t="shared" si="14"/>
        <v>0</v>
      </c>
      <c r="Z32" s="229">
        <v>0</v>
      </c>
      <c r="AA32" s="244">
        <f t="shared" si="15"/>
        <v>0</v>
      </c>
      <c r="AB32" s="442">
        <v>0</v>
      </c>
      <c r="AC32" s="23">
        <f t="shared" si="16"/>
        <v>0</v>
      </c>
      <c r="AE32" s="274">
        <f t="shared" si="17"/>
        <v>0</v>
      </c>
    </row>
    <row r="33" spans="1:31" ht="14.65" customHeight="1" x14ac:dyDescent="0.25">
      <c r="A33" s="363" t="s">
        <v>187</v>
      </c>
      <c r="B33" s="177">
        <v>0</v>
      </c>
      <c r="C33" s="176">
        <f t="shared" si="3"/>
        <v>0</v>
      </c>
      <c r="D33">
        <v>0</v>
      </c>
      <c r="E33" s="176">
        <f t="shared" si="4"/>
        <v>0</v>
      </c>
      <c r="F33">
        <v>0</v>
      </c>
      <c r="G33" s="176">
        <f t="shared" si="5"/>
        <v>0</v>
      </c>
      <c r="H33">
        <v>0</v>
      </c>
      <c r="I33" s="176">
        <f t="shared" si="6"/>
        <v>0</v>
      </c>
      <c r="J33">
        <v>0</v>
      </c>
      <c r="K33" s="176">
        <f t="shared" si="7"/>
        <v>0</v>
      </c>
      <c r="L33">
        <v>0</v>
      </c>
      <c r="M33" s="176">
        <f t="shared" si="8"/>
        <v>0</v>
      </c>
      <c r="N33">
        <v>0</v>
      </c>
      <c r="O33" s="176">
        <f t="shared" si="9"/>
        <v>0</v>
      </c>
      <c r="P33">
        <v>0</v>
      </c>
      <c r="Q33" s="176">
        <f t="shared" si="10"/>
        <v>0</v>
      </c>
      <c r="R33">
        <v>0</v>
      </c>
      <c r="S33" s="176">
        <f t="shared" si="11"/>
        <v>0</v>
      </c>
      <c r="T33">
        <v>0</v>
      </c>
      <c r="U33" s="176">
        <f t="shared" si="12"/>
        <v>0</v>
      </c>
      <c r="V33">
        <v>0</v>
      </c>
      <c r="W33" s="176">
        <f t="shared" si="13"/>
        <v>0</v>
      </c>
      <c r="X33">
        <v>0</v>
      </c>
      <c r="Y33" s="23">
        <f t="shared" si="14"/>
        <v>0</v>
      </c>
      <c r="Z33" s="229">
        <v>0</v>
      </c>
      <c r="AA33" s="244">
        <f t="shared" si="15"/>
        <v>0</v>
      </c>
      <c r="AB33" s="20">
        <v>515</v>
      </c>
      <c r="AC33" s="23">
        <f t="shared" si="16"/>
        <v>1.7981906361404893E-3</v>
      </c>
      <c r="AE33" s="274">
        <f t="shared" si="17"/>
        <v>0</v>
      </c>
    </row>
    <row r="34" spans="1:31" ht="14.65" customHeight="1" x14ac:dyDescent="0.25">
      <c r="A34" s="364" t="s">
        <v>188</v>
      </c>
      <c r="B34" s="365"/>
      <c r="C34" s="272"/>
      <c r="D34" s="25"/>
      <c r="E34" s="272"/>
      <c r="F34" s="25">
        <f>SUM(F23:F33)</f>
        <v>0</v>
      </c>
      <c r="G34" s="272">
        <f>F34/F35</f>
        <v>0</v>
      </c>
      <c r="H34" s="25">
        <f>SUM(H23:H33)</f>
        <v>0</v>
      </c>
      <c r="I34" s="272">
        <f>H34/H35</f>
        <v>0</v>
      </c>
      <c r="J34" s="25">
        <f>SUM(J23:J33)</f>
        <v>0</v>
      </c>
      <c r="K34" s="272">
        <f>J34/J35</f>
        <v>0</v>
      </c>
      <c r="L34" s="25">
        <f>SUM(L23:L33)</f>
        <v>0</v>
      </c>
      <c r="M34" s="272">
        <v>0</v>
      </c>
      <c r="N34" s="25">
        <f>SUM(N23:N33)</f>
        <v>0</v>
      </c>
      <c r="O34" s="272">
        <f>N34/N35</f>
        <v>0</v>
      </c>
      <c r="P34" s="25">
        <f>SUM(P23:P33)</f>
        <v>0</v>
      </c>
      <c r="Q34" s="272">
        <f>P34/P35</f>
        <v>0</v>
      </c>
      <c r="R34" s="25">
        <f>SUM(R23:R33)</f>
        <v>2412</v>
      </c>
      <c r="S34" s="272">
        <f>R34/R35</f>
        <v>0.14312841205791599</v>
      </c>
      <c r="T34" s="25">
        <f>SUM(T23:T33)</f>
        <v>5193</v>
      </c>
      <c r="U34" s="272">
        <f>T34/T35</f>
        <v>0.13182879772542649</v>
      </c>
      <c r="V34" s="25">
        <f>SUM(V23:V33)</f>
        <v>18094</v>
      </c>
      <c r="W34" s="272">
        <f>V34/V35</f>
        <v>0.24246891080617497</v>
      </c>
      <c r="X34" s="25">
        <f>SUM(X23:X33)</f>
        <v>12526</v>
      </c>
      <c r="Y34" s="272">
        <f>X34/X35</f>
        <v>0.13008484697427589</v>
      </c>
      <c r="Z34" s="25">
        <f>SUM(Z23:Z33)</f>
        <v>15478</v>
      </c>
      <c r="AA34" s="272">
        <f>Z34/Z35</f>
        <v>0.13525936800894856</v>
      </c>
      <c r="AB34" s="25">
        <f>SUM(AB23:AB33)</f>
        <v>8864</v>
      </c>
      <c r="AC34" s="272">
        <f>AB34/AB35</f>
        <v>7.0400050830361605E-2</v>
      </c>
      <c r="AD34" s="25">
        <f>SUM(AD23:AD33)</f>
        <v>0</v>
      </c>
      <c r="AE34" s="272">
        <f>AD34/AD35</f>
        <v>0</v>
      </c>
    </row>
    <row r="35" spans="1:31" ht="14.65" customHeight="1" x14ac:dyDescent="0.25">
      <c r="A35" s="277" t="s">
        <v>189</v>
      </c>
      <c r="B35" s="271">
        <f>SUM(B22:B33)</f>
        <v>966</v>
      </c>
      <c r="C35" s="272">
        <f>(B35/$B$38)</f>
        <v>5.2695316335548067E-3</v>
      </c>
      <c r="D35" s="271">
        <f>SUM(D22:D33)</f>
        <v>543</v>
      </c>
      <c r="E35" s="272">
        <f>(D35/$D$38)</f>
        <v>2.7361366556650124E-3</v>
      </c>
      <c r="F35" s="271">
        <f>SUM(F22:F33)</f>
        <v>652</v>
      </c>
      <c r="G35" s="272">
        <f>(F35/$F$38)</f>
        <v>2.710320000665109E-3</v>
      </c>
      <c r="H35" s="271">
        <f>SUM(H22:H33)</f>
        <v>678</v>
      </c>
      <c r="I35" s="272">
        <f>(H35/$H$38)</f>
        <v>2.6356094944139075E-3</v>
      </c>
      <c r="J35" s="271">
        <f>SUM(J22:J33)</f>
        <v>648</v>
      </c>
      <c r="K35" s="272">
        <f>(J35/$J$38)</f>
        <v>2.424995415710827E-3</v>
      </c>
      <c r="L35" s="271">
        <f>SUM(L22:L33)</f>
        <v>0</v>
      </c>
      <c r="M35" s="272">
        <f>(L35/$L$38)</f>
        <v>0</v>
      </c>
      <c r="N35" s="271">
        <f>SUM(N22:N33)</f>
        <v>978</v>
      </c>
      <c r="O35" s="272">
        <f>(N35/$N$38)</f>
        <v>3.564062010305897E-3</v>
      </c>
      <c r="P35" s="271">
        <f>SUM(P22:P33)</f>
        <v>4697</v>
      </c>
      <c r="Q35" s="272">
        <f>(P35/$P$38)</f>
        <v>1.6442048517520215E-2</v>
      </c>
      <c r="R35" s="271">
        <f>SUM(R22:R33)</f>
        <v>16852</v>
      </c>
      <c r="S35" s="272">
        <f>(R35/$R$38)</f>
        <v>5.2632400845766328E-2</v>
      </c>
      <c r="T35" s="271">
        <f>SUM(T22:T33)</f>
        <v>39392</v>
      </c>
      <c r="U35" s="272">
        <f>(T35/$T$38)</f>
        <v>0.12315657505166436</v>
      </c>
      <c r="V35" s="271">
        <f>SUM(V22:V33)</f>
        <v>74624</v>
      </c>
      <c r="W35" s="272">
        <f>(V35/$V$38)</f>
        <v>0.22721570633441729</v>
      </c>
      <c r="X35" s="271">
        <f>SUM(X22:X33)</f>
        <v>96291</v>
      </c>
      <c r="Y35" s="274">
        <f>(X35/$X$38)</f>
        <v>0.29837135367282058</v>
      </c>
      <c r="Z35" s="271">
        <f>SUM(Z22:Z33)</f>
        <v>114432</v>
      </c>
      <c r="AA35" s="276">
        <f>(Z35/$Z$38)</f>
        <v>0.36203492786636293</v>
      </c>
      <c r="AB35" s="271">
        <f>SUM(AB22:AB33)</f>
        <v>125909</v>
      </c>
      <c r="AC35" s="274">
        <f>AB35/$AB$38</f>
        <v>0.43962793166177255</v>
      </c>
      <c r="AD35" s="271">
        <f>SUM(AD22:AD33)</f>
        <v>31120</v>
      </c>
      <c r="AE35" s="274">
        <f>AD35/$AB$38</f>
        <v>0.10865959727513015</v>
      </c>
    </row>
    <row r="36" spans="1:31" ht="14.65" customHeight="1" x14ac:dyDescent="0.25">
      <c r="A36" s="277" t="s">
        <v>190</v>
      </c>
      <c r="B36" s="273">
        <f>SUM(B8:B18)</f>
        <v>92897</v>
      </c>
      <c r="C36" s="274">
        <f>(B36/$B$38)</f>
        <v>0.5067532920935206</v>
      </c>
      <c r="D36" s="273">
        <f>SUM(D8:D18)</f>
        <v>101665</v>
      </c>
      <c r="E36" s="272">
        <f>(D36/$D$38)</f>
        <v>0.51228238139628635</v>
      </c>
      <c r="F36" s="273">
        <f>SUM(F8:F18)</f>
        <v>127757</v>
      </c>
      <c r="G36" s="272">
        <f>(F36/$F$38)</f>
        <v>0.53107722749228892</v>
      </c>
      <c r="H36" s="273">
        <f>SUM(H8:H18)</f>
        <v>145716</v>
      </c>
      <c r="I36" s="272">
        <f>(H36/$H$38)</f>
        <v>0.56644612549855</v>
      </c>
      <c r="J36" s="273">
        <f>SUM(J8:J18)</f>
        <v>146804</v>
      </c>
      <c r="K36" s="272">
        <f>(J36/$J$38)</f>
        <v>0.54938121451853739</v>
      </c>
      <c r="L36" s="273">
        <f>SUM(L8:L18)</f>
        <v>140582</v>
      </c>
      <c r="M36" s="272">
        <f>(L36/$L$38)</f>
        <v>0.51645444993864942</v>
      </c>
      <c r="N36" s="273">
        <f>SUM(N8:N18)</f>
        <v>121738</v>
      </c>
      <c r="O36" s="272">
        <f>(N36/$N$38)</f>
        <v>0.44364190287384386</v>
      </c>
      <c r="P36" s="273">
        <f>SUM(P8:P18)</f>
        <v>117373</v>
      </c>
      <c r="Q36" s="272">
        <f>(P36/$P$38)</f>
        <v>0.41086918472363215</v>
      </c>
      <c r="R36" s="273">
        <f>SUM(R8:R18)</f>
        <v>114537</v>
      </c>
      <c r="S36" s="272">
        <f>(R36/$R$38)</f>
        <v>0.35772355184378934</v>
      </c>
      <c r="T36" s="273">
        <f>SUM(T8:T18)</f>
        <v>105745</v>
      </c>
      <c r="U36" s="272">
        <f>(T36/$T$38)</f>
        <v>0.33060499667034543</v>
      </c>
      <c r="V36" s="273">
        <f>SUM(V8:V18)</f>
        <v>95553</v>
      </c>
      <c r="W36" s="272">
        <f>(V36/$V$38)</f>
        <v>0.29094048010522855</v>
      </c>
      <c r="X36" s="273">
        <f>SUM(X8:X18)</f>
        <v>84478</v>
      </c>
      <c r="Y36" s="274">
        <f>(X36/$X$38)</f>
        <v>0.26176709365955836</v>
      </c>
      <c r="Z36" s="273">
        <f>SUM(Z8:Z18)</f>
        <v>72599</v>
      </c>
      <c r="AA36" s="276">
        <f>(Z36/$Z$38)</f>
        <v>0.22968552265249303</v>
      </c>
      <c r="AB36" s="273">
        <f>SUM(AB8:AB18)</f>
        <v>61454</v>
      </c>
      <c r="AC36" s="274">
        <f>AB36/$AB$38</f>
        <v>0.21457477155995655</v>
      </c>
      <c r="AD36" s="273">
        <f>SUM(AD8:AD18)</f>
        <v>15904</v>
      </c>
      <c r="AE36" s="274">
        <f>AD36/$AB$38</f>
        <v>5.5530920149860857E-2</v>
      </c>
    </row>
    <row r="37" spans="1:31" ht="14.65" customHeight="1" x14ac:dyDescent="0.25">
      <c r="A37" s="277" t="s">
        <v>191</v>
      </c>
      <c r="B37" s="273">
        <f>SUM(B35,B7)</f>
        <v>89817</v>
      </c>
      <c r="C37" s="278">
        <f>B35/B37</f>
        <v>1.0755202244563947E-2</v>
      </c>
      <c r="D37" s="273">
        <f>SUM(D35,D7)</f>
        <v>96422</v>
      </c>
      <c r="E37" s="278">
        <f>D35/D37</f>
        <v>5.6314948870589696E-3</v>
      </c>
      <c r="F37" s="273">
        <f>SUM(F35,F7)</f>
        <v>112805</v>
      </c>
      <c r="G37" s="278">
        <f>F35/F37</f>
        <v>5.7798856433668722E-3</v>
      </c>
      <c r="H37" s="273">
        <f>SUM(H35,H7)</f>
        <v>111071</v>
      </c>
      <c r="I37" s="278">
        <f>H35/H37</f>
        <v>6.1042036175059195E-3</v>
      </c>
      <c r="J37" s="273">
        <f>SUM(J35,J7)</f>
        <v>120413</v>
      </c>
      <c r="K37" s="278">
        <f>J35/J37</f>
        <v>5.3814787439894363E-3</v>
      </c>
      <c r="L37" s="273">
        <f>SUM(L35,L7)</f>
        <v>131624</v>
      </c>
      <c r="M37" s="278">
        <f>L35/L37</f>
        <v>0</v>
      </c>
      <c r="N37" s="273">
        <f>SUM(N35,N7)</f>
        <v>152668</v>
      </c>
      <c r="O37" s="278">
        <f>N35/N37</f>
        <v>6.4060575890166902E-3</v>
      </c>
      <c r="P37" s="273">
        <f>SUM(P35,P7)</f>
        <v>168297</v>
      </c>
      <c r="Q37" s="278">
        <f>P35/P37</f>
        <v>2.7908994218554105E-2</v>
      </c>
      <c r="R37" s="273">
        <f>SUM(R35,R7)</f>
        <v>204720</v>
      </c>
      <c r="S37" s="278">
        <f>R35/R37</f>
        <v>8.2317311449785074E-2</v>
      </c>
      <c r="T37" s="273">
        <f>SUM(T35,T7)</f>
        <v>213234</v>
      </c>
      <c r="U37" s="278">
        <f>T35/T37</f>
        <v>0.18473601770824541</v>
      </c>
      <c r="V37" s="273">
        <f>SUM(V35,V7)</f>
        <v>231679</v>
      </c>
      <c r="W37" s="278">
        <f>V35/V37</f>
        <v>0.32210083779712445</v>
      </c>
      <c r="X37" s="273">
        <f>SUM(X35,X7)</f>
        <v>237109</v>
      </c>
      <c r="Y37" s="278">
        <f>X35/X37</f>
        <v>0.40610436550278561</v>
      </c>
      <c r="Z37" s="273">
        <f>SUM(Z35,Z7)</f>
        <v>242073</v>
      </c>
      <c r="AA37" s="278">
        <f>Z35/Z37</f>
        <v>0.47271690770965785</v>
      </c>
      <c r="AB37" s="275">
        <f>SUM(AB35,AB7)</f>
        <v>223986</v>
      </c>
      <c r="AC37" s="278">
        <f>AB35/AB37</f>
        <v>0.56212888305519093</v>
      </c>
      <c r="AD37" s="275">
        <f>SUM(AD35,AD7)</f>
        <v>44612</v>
      </c>
      <c r="AE37" s="278">
        <f>AD35/AD37</f>
        <v>0.69757016049493414</v>
      </c>
    </row>
    <row r="38" spans="1:31" ht="14.65" customHeight="1" x14ac:dyDescent="0.25">
      <c r="A38" t="s">
        <v>192</v>
      </c>
      <c r="B38" s="180">
        <f>SUM(B7:B33)</f>
        <v>183318</v>
      </c>
      <c r="C38" s="174"/>
      <c r="D38" s="180">
        <f>SUM(D7:D33)</f>
        <v>198455</v>
      </c>
      <c r="E38" s="174"/>
      <c r="F38" s="180">
        <f>SUM(F7:F33)</f>
        <v>240562</v>
      </c>
      <c r="G38" s="174"/>
      <c r="H38" s="180">
        <f>SUM(H7:H33)</f>
        <v>257246</v>
      </c>
      <c r="I38" s="179"/>
      <c r="J38" s="180">
        <f>SUM(J7:J33)</f>
        <v>267217</v>
      </c>
      <c r="K38" s="178"/>
      <c r="L38" s="180">
        <f>SUM(L7:L33)</f>
        <v>272206</v>
      </c>
      <c r="M38" s="178"/>
      <c r="N38" s="180">
        <f>SUM(N7:N33)</f>
        <v>274406</v>
      </c>
      <c r="O38" s="178"/>
      <c r="P38" s="180">
        <f>SUM(P7:P33)</f>
        <v>285670</v>
      </c>
      <c r="Q38" s="181"/>
      <c r="R38" s="180">
        <f>SUM(R7:R33)</f>
        <v>320183</v>
      </c>
      <c r="S38" s="181"/>
      <c r="T38" s="180">
        <f>SUM(T7:T33)</f>
        <v>319853</v>
      </c>
      <c r="U38" s="179"/>
      <c r="V38" s="180">
        <f>SUM(V7:V33)</f>
        <v>328428</v>
      </c>
      <c r="W38" s="182"/>
      <c r="X38" s="180">
        <f>SUM(X7:X33)</f>
        <v>322722</v>
      </c>
      <c r="Y38" s="182"/>
      <c r="Z38" s="180">
        <f>SUM(Z7:Z33)</f>
        <v>316080</v>
      </c>
      <c r="AA38" s="230"/>
      <c r="AB38" s="180">
        <f>SUM(AB7:AB33)</f>
        <v>286399</v>
      </c>
      <c r="AC38" s="59"/>
      <c r="AD38" s="180">
        <f>SUM(AD7:AD33)</f>
        <v>60516</v>
      </c>
      <c r="AE38" s="59"/>
    </row>
    <row r="39" spans="1:31" ht="14.65" customHeight="1" x14ac:dyDescent="0.25">
      <c r="E39" s="23"/>
      <c r="I39" s="23"/>
      <c r="Q39" s="23"/>
    </row>
    <row r="40" spans="1:31" x14ac:dyDescent="0.25">
      <c r="A40" t="s">
        <v>131</v>
      </c>
      <c r="B40" s="54" t="s">
        <v>94</v>
      </c>
      <c r="C40" s="54" t="s">
        <v>95</v>
      </c>
      <c r="D40" s="54" t="s">
        <v>96</v>
      </c>
      <c r="E40" s="54" t="s">
        <v>97</v>
      </c>
      <c r="F40" s="54" t="s">
        <v>98</v>
      </c>
      <c r="G40" s="54" t="s">
        <v>99</v>
      </c>
      <c r="H40" s="54" t="s">
        <v>100</v>
      </c>
      <c r="I40" s="54" t="s">
        <v>101</v>
      </c>
      <c r="J40" s="54" t="s">
        <v>102</v>
      </c>
      <c r="K40" s="54" t="s">
        <v>103</v>
      </c>
      <c r="L40" s="54" t="s">
        <v>104</v>
      </c>
      <c r="M40" s="54" t="s">
        <v>105</v>
      </c>
      <c r="N40" s="54" t="s">
        <v>106</v>
      </c>
      <c r="O40" s="54" t="s">
        <v>107</v>
      </c>
      <c r="P40" s="54" t="s">
        <v>108</v>
      </c>
      <c r="Q40" s="54" t="s">
        <v>109</v>
      </c>
      <c r="R40" s="54" t="s">
        <v>110</v>
      </c>
      <c r="S40" s="54" t="s">
        <v>111</v>
      </c>
      <c r="T40" s="54" t="s">
        <v>112</v>
      </c>
      <c r="U40" s="54" t="s">
        <v>113</v>
      </c>
      <c r="V40" s="183">
        <v>2019</v>
      </c>
      <c r="W40" s="54">
        <v>2020</v>
      </c>
      <c r="X40" s="54">
        <v>2021</v>
      </c>
    </row>
    <row r="41" spans="1:31" x14ac:dyDescent="0.25">
      <c r="A41" s="25" t="s">
        <v>5</v>
      </c>
      <c r="B41">
        <v>0</v>
      </c>
      <c r="C41">
        <v>0</v>
      </c>
      <c r="D41">
        <v>0</v>
      </c>
      <c r="E41">
        <v>0</v>
      </c>
      <c r="F41">
        <v>0</v>
      </c>
      <c r="G41">
        <v>0</v>
      </c>
      <c r="H41">
        <v>0</v>
      </c>
      <c r="I41">
        <v>0</v>
      </c>
      <c r="J41" s="23">
        <f>C37</f>
        <v>1.0755202244563947E-2</v>
      </c>
      <c r="K41" s="23">
        <f>E37</f>
        <v>5.6314948870589696E-3</v>
      </c>
      <c r="L41" s="23">
        <f>G37</f>
        <v>5.7798856433668722E-3</v>
      </c>
      <c r="M41" s="23">
        <f>I37</f>
        <v>6.1042036175059195E-3</v>
      </c>
      <c r="N41" s="23">
        <f>K37</f>
        <v>5.3814787439894363E-3</v>
      </c>
      <c r="O41" s="23">
        <f>M37</f>
        <v>0</v>
      </c>
      <c r="P41" s="23">
        <f>O37</f>
        <v>6.4060575890166902E-3</v>
      </c>
      <c r="Q41" s="23">
        <f>Q37</f>
        <v>2.7908994218554105E-2</v>
      </c>
      <c r="R41" s="23">
        <f>S37</f>
        <v>8.2317311449785074E-2</v>
      </c>
      <c r="S41" s="23">
        <f>U37</f>
        <v>0.18473601770824541</v>
      </c>
      <c r="T41" s="23">
        <f>W37</f>
        <v>0.32210083779712445</v>
      </c>
      <c r="U41" s="23">
        <f>Y37</f>
        <v>0.40610436550278561</v>
      </c>
      <c r="V41" s="23">
        <f>AA37</f>
        <v>0.47271690770965785</v>
      </c>
      <c r="W41" s="23">
        <f>AC37</f>
        <v>0.56212888305519093</v>
      </c>
      <c r="X41" s="23">
        <f>AE37</f>
        <v>0.69757016049493414</v>
      </c>
    </row>
  </sheetData>
  <mergeCells count="16">
    <mergeCell ref="AD5:AE5"/>
    <mergeCell ref="A3:G4"/>
    <mergeCell ref="V5:W5"/>
    <mergeCell ref="X5:Y5"/>
    <mergeCell ref="B5:C5"/>
    <mergeCell ref="D5:E5"/>
    <mergeCell ref="F5:G5"/>
    <mergeCell ref="H5:I5"/>
    <mergeCell ref="J5:K5"/>
    <mergeCell ref="L5:M5"/>
    <mergeCell ref="AB5:AC5"/>
    <mergeCell ref="Z5:AA5"/>
    <mergeCell ref="N5:O5"/>
    <mergeCell ref="P5:Q5"/>
    <mergeCell ref="R5:S5"/>
    <mergeCell ref="T5:U5"/>
  </mergeCells>
  <phoneticPr fontId="39" type="noConversion"/>
  <hyperlinks>
    <hyperlink ref="AD4" r:id="rId1" display="https://www.nflis.deadiversion.usdoj.gov/nflisdata/docs/NFLIS_Snapshot_062021.pdf" xr:uid="{00000000-0004-0000-0800-000000000000}"/>
    <hyperlink ref="AB4" r:id="rId2" display="C:\Users\erins\OneDrive\Desktop\2020NFLISWebsiteTable1.pdf" xr:uid="{00000000-0004-0000-0800-000001000000}"/>
    <hyperlink ref="AD3" r:id="rId3" display="https://www.nflis.deadiversion.usdoj.gov/nflisdata/docs/NFLIS_Snapshot_092021.pdf" xr:uid="{00000000-0004-0000-0800-000002000000}"/>
  </hyperlinks>
  <pageMargins left="0.7" right="0.7" top="0.75" bottom="0.75" header="0.3" footer="0.3"/>
  <pageSetup orientation="portrait" r:id="rId4"/>
  <ignoredErrors>
    <ignoredError sqref="E40:U40 E1:U1 B40:D40 B1:D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EC144-6F39-4154-9D2D-8090A28A504A}">
  <dimension ref="A1:MP14"/>
  <sheetViews>
    <sheetView zoomScale="85" zoomScaleNormal="85" workbookViewId="0">
      <selection activeCell="B27" sqref="B27"/>
    </sheetView>
  </sheetViews>
  <sheetFormatPr defaultColWidth="8.7109375" defaultRowHeight="15" x14ac:dyDescent="0.25"/>
  <cols>
    <col min="1" max="1" width="31.28515625" bestFit="1" customWidth="1"/>
    <col min="2" max="2" width="13.42578125" customWidth="1"/>
    <col min="3" max="3" width="10" bestFit="1" customWidth="1"/>
    <col min="4" max="4" width="9" bestFit="1" customWidth="1"/>
    <col min="5" max="5" width="10" bestFit="1" customWidth="1"/>
    <col min="6" max="6" width="8" bestFit="1" customWidth="1"/>
    <col min="7" max="7" width="10" bestFit="1" customWidth="1"/>
    <col min="8" max="56" width="12.85546875" customWidth="1"/>
    <col min="57" max="59" width="12.28515625" bestFit="1" customWidth="1"/>
    <col min="60" max="65" width="12.42578125" bestFit="1" customWidth="1"/>
    <col min="66" max="66" width="13.42578125" customWidth="1"/>
    <col min="67" max="67" width="15.7109375" customWidth="1"/>
    <col min="68" max="68" width="11.7109375" customWidth="1"/>
    <col min="69" max="69" width="11.28515625" bestFit="1" customWidth="1"/>
    <col min="70" max="74" width="12.140625" bestFit="1" customWidth="1"/>
    <col min="75" max="75" width="11.28515625" bestFit="1" customWidth="1"/>
    <col min="76" max="76" width="11.7109375" bestFit="1" customWidth="1"/>
    <col min="77" max="77" width="11.42578125" bestFit="1" customWidth="1"/>
    <col min="78" max="78" width="12.42578125" bestFit="1" customWidth="1"/>
    <col min="79" max="79" width="12.7109375" bestFit="1" customWidth="1"/>
    <col min="80" max="81" width="12.42578125" bestFit="1" customWidth="1"/>
    <col min="82" max="83" width="12" bestFit="1" customWidth="1"/>
    <col min="84" max="84" width="12.42578125" bestFit="1" customWidth="1"/>
    <col min="85" max="85" width="11.42578125" bestFit="1" customWidth="1"/>
    <col min="86" max="86" width="12.42578125" bestFit="1" customWidth="1"/>
    <col min="87" max="87" width="12" bestFit="1" customWidth="1"/>
    <col min="88" max="89" width="12.42578125" bestFit="1" customWidth="1"/>
    <col min="90" max="92" width="13.28515625" bestFit="1" customWidth="1"/>
    <col min="93" max="94" width="12.7109375" bestFit="1" customWidth="1"/>
    <col min="95" max="95" width="13.28515625" bestFit="1" customWidth="1"/>
    <col min="96" max="96" width="12.7109375" bestFit="1" customWidth="1"/>
    <col min="97" max="97" width="13.28515625" bestFit="1" customWidth="1"/>
    <col min="98" max="98" width="12.42578125" bestFit="1" customWidth="1"/>
    <col min="99" max="99" width="13.28515625" bestFit="1" customWidth="1"/>
    <col min="100" max="100" width="12" bestFit="1" customWidth="1"/>
    <col min="101" max="101" width="12.42578125" bestFit="1" customWidth="1"/>
    <col min="102" max="102" width="12.7109375" bestFit="1" customWidth="1"/>
    <col min="103" max="103" width="13.28515625" bestFit="1" customWidth="1"/>
    <col min="104" max="105" width="12.7109375" bestFit="1" customWidth="1"/>
    <col min="106" max="106" width="13.28515625" bestFit="1" customWidth="1"/>
    <col min="107" max="107" width="12.7109375" bestFit="1" customWidth="1"/>
    <col min="108" max="108" width="12.42578125" bestFit="1" customWidth="1"/>
    <col min="109" max="110" width="12.7109375" bestFit="1" customWidth="1"/>
    <col min="111" max="111" width="12.42578125" bestFit="1" customWidth="1"/>
    <col min="112" max="115" width="12.7109375" bestFit="1" customWidth="1"/>
    <col min="116" max="116" width="13.28515625" bestFit="1" customWidth="1"/>
    <col min="117" max="118" width="12.7109375" bestFit="1" customWidth="1"/>
    <col min="119" max="119" width="13.28515625" bestFit="1" customWidth="1"/>
    <col min="120" max="120" width="12" bestFit="1" customWidth="1"/>
    <col min="121" max="121" width="12.7109375" bestFit="1" customWidth="1"/>
    <col min="122" max="122" width="13.28515625" bestFit="1" customWidth="1"/>
    <col min="123" max="123" width="12.42578125" bestFit="1" customWidth="1"/>
    <col min="124" max="126" width="12.7109375" bestFit="1" customWidth="1"/>
    <col min="127" max="127" width="12" bestFit="1" customWidth="1"/>
    <col min="128" max="128" width="12.7109375" bestFit="1" customWidth="1"/>
    <col min="129" max="129" width="12.42578125" bestFit="1" customWidth="1"/>
    <col min="130" max="130" width="12.7109375" bestFit="1" customWidth="1"/>
    <col min="131" max="131" width="12.42578125" bestFit="1" customWidth="1"/>
    <col min="132" max="132" width="13.28515625" bestFit="1" customWidth="1"/>
    <col min="133" max="133" width="13.42578125" bestFit="1" customWidth="1"/>
    <col min="134" max="134" width="13" bestFit="1" customWidth="1"/>
    <col min="135" max="135" width="14" bestFit="1" customWidth="1"/>
    <col min="136" max="136" width="13.42578125" bestFit="1" customWidth="1"/>
    <col min="137" max="138" width="13" bestFit="1" customWidth="1"/>
    <col min="139" max="140" width="14" bestFit="1" customWidth="1"/>
    <col min="141" max="141" width="13.42578125" bestFit="1" customWidth="1"/>
    <col min="142" max="142" width="14" bestFit="1" customWidth="1"/>
    <col min="143" max="143" width="13.42578125" bestFit="1" customWidth="1"/>
    <col min="144" max="144" width="14" bestFit="1" customWidth="1"/>
    <col min="145" max="146" width="13.42578125" bestFit="1" customWidth="1"/>
    <col min="147" max="147" width="13" bestFit="1" customWidth="1"/>
    <col min="148" max="148" width="13.42578125" bestFit="1" customWidth="1"/>
    <col min="149" max="149" width="12.42578125" bestFit="1" customWidth="1"/>
    <col min="150" max="151" width="14" bestFit="1" customWidth="1"/>
    <col min="152" max="154" width="13.42578125" bestFit="1" customWidth="1"/>
    <col min="155" max="155" width="14" bestFit="1" customWidth="1"/>
    <col min="156" max="158" width="13.42578125" bestFit="1" customWidth="1"/>
    <col min="159" max="160" width="14" bestFit="1" customWidth="1"/>
    <col min="161" max="161" width="14.42578125" bestFit="1" customWidth="1"/>
    <col min="162" max="163" width="14" bestFit="1" customWidth="1"/>
    <col min="164" max="164" width="14.42578125" bestFit="1" customWidth="1"/>
    <col min="165" max="165" width="14" bestFit="1" customWidth="1"/>
    <col min="166" max="166" width="13.42578125" bestFit="1" customWidth="1"/>
    <col min="167" max="167" width="14" bestFit="1" customWidth="1"/>
    <col min="168" max="171" width="14.42578125" bestFit="1" customWidth="1"/>
    <col min="172" max="172" width="13.42578125" bestFit="1" customWidth="1"/>
    <col min="173" max="173" width="14.42578125" bestFit="1" customWidth="1"/>
    <col min="174" max="174" width="13.42578125" bestFit="1" customWidth="1"/>
    <col min="175" max="175" width="14.42578125" bestFit="1" customWidth="1"/>
    <col min="176" max="176" width="14" bestFit="1" customWidth="1"/>
    <col min="177" max="178" width="14.42578125" bestFit="1" customWidth="1"/>
    <col min="179" max="180" width="13.42578125" bestFit="1" customWidth="1"/>
    <col min="181" max="185" width="14" bestFit="1" customWidth="1"/>
    <col min="186" max="186" width="14.42578125" bestFit="1" customWidth="1"/>
    <col min="187" max="187" width="14" bestFit="1" customWidth="1"/>
    <col min="188" max="188" width="14.42578125" bestFit="1" customWidth="1"/>
    <col min="189" max="190" width="14" bestFit="1" customWidth="1"/>
    <col min="191" max="192" width="14.42578125" bestFit="1" customWidth="1"/>
    <col min="193" max="193" width="13" bestFit="1" customWidth="1"/>
    <col min="194" max="194" width="12.42578125" bestFit="1" customWidth="1"/>
    <col min="195" max="195" width="14" bestFit="1" customWidth="1"/>
    <col min="196" max="196" width="13" bestFit="1" customWidth="1"/>
    <col min="197" max="198" width="14" bestFit="1" customWidth="1"/>
    <col min="199" max="200" width="13.42578125" bestFit="1" customWidth="1"/>
    <col min="201" max="201" width="14.42578125" bestFit="1" customWidth="1"/>
    <col min="202" max="202" width="13.42578125" bestFit="1" customWidth="1"/>
    <col min="203" max="203" width="13" bestFit="1" customWidth="1"/>
    <col min="204" max="205" width="14" bestFit="1" customWidth="1"/>
    <col min="206" max="206" width="14.42578125" bestFit="1" customWidth="1"/>
    <col min="207" max="207" width="13.42578125" bestFit="1" customWidth="1"/>
    <col min="208" max="209" width="13" bestFit="1" customWidth="1"/>
    <col min="210" max="210" width="14.42578125" bestFit="1" customWidth="1"/>
    <col min="211" max="212" width="14" bestFit="1" customWidth="1"/>
    <col min="213" max="213" width="13.42578125" bestFit="1" customWidth="1"/>
    <col min="214" max="218" width="14.42578125" bestFit="1" customWidth="1"/>
    <col min="219" max="219" width="14" bestFit="1" customWidth="1"/>
    <col min="220" max="220" width="13.42578125" bestFit="1" customWidth="1"/>
    <col min="221" max="223" width="14" bestFit="1" customWidth="1"/>
    <col min="224" max="226" width="14.42578125" bestFit="1" customWidth="1"/>
    <col min="227" max="227" width="14" bestFit="1" customWidth="1"/>
    <col min="228" max="231" width="14.42578125" bestFit="1" customWidth="1"/>
    <col min="232" max="232" width="14" bestFit="1" customWidth="1"/>
    <col min="233" max="233" width="13" bestFit="1" customWidth="1"/>
    <col min="234" max="234" width="13.42578125" bestFit="1" customWidth="1"/>
    <col min="235" max="235" width="14.42578125" bestFit="1" customWidth="1"/>
    <col min="236" max="236" width="14" bestFit="1" customWidth="1"/>
    <col min="237" max="237" width="12.42578125" bestFit="1" customWidth="1"/>
    <col min="238" max="238" width="14.42578125" bestFit="1" customWidth="1"/>
    <col min="239" max="239" width="14" bestFit="1" customWidth="1"/>
    <col min="240" max="242" width="14.42578125" bestFit="1" customWidth="1"/>
    <col min="243" max="244" width="14" bestFit="1" customWidth="1"/>
    <col min="245" max="245" width="12.42578125" bestFit="1" customWidth="1"/>
    <col min="246" max="246" width="14" bestFit="1" customWidth="1"/>
    <col min="247" max="250" width="14.42578125" bestFit="1" customWidth="1"/>
    <col min="251" max="251" width="12.42578125" bestFit="1" customWidth="1"/>
    <col min="252" max="252" width="14" bestFit="1" customWidth="1"/>
    <col min="253" max="253" width="13.42578125" bestFit="1" customWidth="1"/>
    <col min="254" max="254" width="14.42578125" bestFit="1" customWidth="1"/>
    <col min="255" max="255" width="14" bestFit="1" customWidth="1"/>
    <col min="256" max="258" width="13.42578125" bestFit="1" customWidth="1"/>
    <col min="259" max="260" width="14.42578125" bestFit="1" customWidth="1"/>
    <col min="261" max="262" width="14" bestFit="1" customWidth="1"/>
    <col min="263" max="266" width="14.42578125" bestFit="1" customWidth="1"/>
    <col min="267" max="267" width="13" bestFit="1" customWidth="1"/>
    <col min="268" max="269" width="14.42578125" bestFit="1" customWidth="1"/>
    <col min="270" max="270" width="13.42578125" bestFit="1" customWidth="1"/>
    <col min="271" max="272" width="13" bestFit="1" customWidth="1"/>
    <col min="273" max="277" width="14" bestFit="1" customWidth="1"/>
    <col min="278" max="278" width="14.42578125" bestFit="1" customWidth="1"/>
    <col min="279" max="279" width="13" bestFit="1" customWidth="1"/>
    <col min="280" max="282" width="14.42578125" bestFit="1" customWidth="1"/>
    <col min="283" max="283" width="13" bestFit="1" customWidth="1"/>
    <col min="284" max="284" width="14" bestFit="1" customWidth="1"/>
    <col min="285" max="287" width="14.42578125" bestFit="1" customWidth="1"/>
    <col min="288" max="288" width="13" bestFit="1" customWidth="1"/>
    <col min="289" max="289" width="14" bestFit="1" customWidth="1"/>
    <col min="290" max="290" width="13.42578125" bestFit="1" customWidth="1"/>
    <col min="291" max="291" width="14" bestFit="1" customWidth="1"/>
    <col min="292" max="293" width="14.42578125" bestFit="1" customWidth="1"/>
    <col min="294" max="294" width="14" bestFit="1" customWidth="1"/>
    <col min="295" max="297" width="14.42578125" bestFit="1" customWidth="1"/>
    <col min="298" max="299" width="14" bestFit="1" customWidth="1"/>
    <col min="300" max="300" width="14.42578125" bestFit="1" customWidth="1"/>
    <col min="301" max="301" width="14" bestFit="1" customWidth="1"/>
    <col min="302" max="302" width="13.42578125" bestFit="1" customWidth="1"/>
    <col min="303" max="303" width="14.42578125" bestFit="1" customWidth="1"/>
    <col min="304" max="304" width="14" bestFit="1" customWidth="1"/>
    <col min="305" max="305" width="14.42578125" bestFit="1" customWidth="1"/>
    <col min="306" max="306" width="13.42578125" bestFit="1" customWidth="1"/>
    <col min="307" max="310" width="14" bestFit="1" customWidth="1"/>
    <col min="311" max="312" width="14.42578125" bestFit="1" customWidth="1"/>
    <col min="313" max="313" width="14" bestFit="1" customWidth="1"/>
    <col min="314" max="314" width="14.42578125" bestFit="1" customWidth="1"/>
    <col min="315" max="316" width="13" bestFit="1" customWidth="1"/>
    <col min="317" max="317" width="14.42578125" bestFit="1" customWidth="1"/>
    <col min="318" max="319" width="14" bestFit="1" customWidth="1"/>
    <col min="320" max="320" width="14.42578125" bestFit="1" customWidth="1"/>
    <col min="321" max="321" width="14" bestFit="1" customWidth="1"/>
    <col min="322" max="322" width="13" bestFit="1" customWidth="1"/>
    <col min="323" max="323" width="14.42578125" bestFit="1" customWidth="1"/>
    <col min="324" max="324" width="14" bestFit="1" customWidth="1"/>
    <col min="325" max="325" width="13.42578125" bestFit="1" customWidth="1"/>
    <col min="326" max="326" width="14.42578125" bestFit="1" customWidth="1"/>
    <col min="327" max="327" width="9.140625" customWidth="1"/>
    <col min="328" max="328" width="14.42578125" bestFit="1" customWidth="1"/>
    <col min="329" max="329" width="13.42578125" bestFit="1" customWidth="1"/>
    <col min="330" max="331" width="14" bestFit="1" customWidth="1"/>
    <col min="332" max="334" width="14.42578125" bestFit="1" customWidth="1"/>
    <col min="335" max="337" width="14" bestFit="1" customWidth="1"/>
    <col min="338" max="338" width="13.42578125" bestFit="1" customWidth="1"/>
    <col min="339" max="339" width="13" bestFit="1" customWidth="1"/>
    <col min="340" max="340" width="14.42578125" bestFit="1" customWidth="1"/>
    <col min="341" max="341" width="13.42578125" bestFit="1" customWidth="1"/>
    <col min="342" max="343" width="14.42578125" bestFit="1" customWidth="1"/>
    <col min="344" max="344" width="14" bestFit="1" customWidth="1"/>
    <col min="345" max="345" width="14.42578125" bestFit="1" customWidth="1"/>
    <col min="346" max="346" width="14" bestFit="1" customWidth="1"/>
  </cols>
  <sheetData>
    <row r="1" spans="1:354" ht="15" customHeight="1" x14ac:dyDescent="0.25">
      <c r="A1" s="576" t="s">
        <v>499</v>
      </c>
      <c r="B1" s="576"/>
      <c r="C1" s="576"/>
      <c r="D1" s="576"/>
      <c r="E1" s="576"/>
      <c r="F1" s="576"/>
      <c r="G1" s="576"/>
      <c r="H1" s="576"/>
      <c r="I1" s="576"/>
      <c r="J1" s="576"/>
      <c r="K1" s="576"/>
      <c r="L1" s="576"/>
      <c r="M1" s="576"/>
      <c r="N1" s="576"/>
      <c r="O1" s="576"/>
      <c r="P1" s="576"/>
      <c r="Q1" s="576"/>
      <c r="R1" s="576"/>
      <c r="S1" s="576"/>
      <c r="T1" s="576"/>
      <c r="U1" s="576"/>
      <c r="V1" s="576"/>
      <c r="W1" s="576"/>
      <c r="X1" s="528"/>
      <c r="Y1" s="528"/>
      <c r="Z1" s="528"/>
      <c r="AA1" s="528"/>
      <c r="AB1" s="528"/>
      <c r="AC1" s="528"/>
      <c r="AD1" s="528"/>
      <c r="AE1" s="528"/>
      <c r="AF1" s="528"/>
      <c r="AG1" s="528"/>
      <c r="AH1" s="528"/>
      <c r="AI1" s="528"/>
      <c r="AJ1" s="528"/>
      <c r="AK1" s="528"/>
      <c r="AL1" s="528"/>
      <c r="AM1" s="528"/>
      <c r="AN1" s="528"/>
      <c r="AO1" s="528"/>
      <c r="AP1" s="528"/>
      <c r="AQ1" s="528"/>
      <c r="AR1" s="528"/>
      <c r="AS1" s="528"/>
      <c r="AT1" s="528"/>
      <c r="AU1" s="528"/>
      <c r="AV1" s="528"/>
      <c r="AW1" s="528"/>
      <c r="AX1" s="528"/>
      <c r="AY1" s="528"/>
      <c r="AZ1" s="528"/>
      <c r="BA1" s="528"/>
    </row>
    <row r="2" spans="1:354" ht="35.25" customHeight="1" x14ac:dyDescent="0.25">
      <c r="A2" s="576"/>
      <c r="B2" s="576"/>
      <c r="C2" s="576"/>
      <c r="D2" s="576"/>
      <c r="E2" s="576"/>
      <c r="F2" s="576"/>
      <c r="G2" s="576"/>
      <c r="H2" s="576"/>
      <c r="I2" s="576"/>
      <c r="J2" s="576"/>
      <c r="K2" s="576"/>
      <c r="L2" s="576"/>
      <c r="M2" s="576"/>
      <c r="N2" s="576"/>
      <c r="O2" s="576"/>
      <c r="P2" s="576"/>
      <c r="Q2" s="576"/>
      <c r="R2" s="576"/>
      <c r="S2" s="576"/>
      <c r="T2" s="576"/>
      <c r="U2" s="576"/>
      <c r="V2" s="576"/>
      <c r="W2" s="576"/>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c r="AW2" s="528"/>
      <c r="AX2" s="528"/>
      <c r="AY2" s="528"/>
      <c r="AZ2" s="528"/>
      <c r="BA2" s="528"/>
    </row>
    <row r="3" spans="1:354" s="423" customFormat="1" x14ac:dyDescent="0.25">
      <c r="H3" s="423">
        <v>1999</v>
      </c>
      <c r="I3" s="23">
        <v>1999.083345</v>
      </c>
      <c r="J3" s="23">
        <v>1999.166678</v>
      </c>
      <c r="K3" s="23">
        <v>1999.2500110000001</v>
      </c>
      <c r="L3" s="23">
        <v>1999.3333439999999</v>
      </c>
      <c r="M3" s="23">
        <v>1999.4166769999999</v>
      </c>
      <c r="N3" s="23">
        <v>1999.50001</v>
      </c>
      <c r="O3" s="23">
        <v>1999.583343</v>
      </c>
      <c r="P3" s="23">
        <v>1999.6666760000001</v>
      </c>
      <c r="Q3" s="23">
        <v>1999.7500090000001</v>
      </c>
      <c r="R3" s="23">
        <v>1999.8333419999999</v>
      </c>
      <c r="S3" s="23">
        <v>1999.9166749999999</v>
      </c>
      <c r="T3" s="423">
        <v>2000.000008</v>
      </c>
      <c r="U3" s="23">
        <v>2000.083341</v>
      </c>
      <c r="V3" s="23">
        <v>2000.1666740000001</v>
      </c>
      <c r="W3" s="23">
        <v>2000.2500070000001</v>
      </c>
      <c r="X3" s="23">
        <v>2000.3333399999999</v>
      </c>
      <c r="Y3" s="23">
        <v>2000.4166729999999</v>
      </c>
      <c r="Z3" s="23">
        <v>2000.500006</v>
      </c>
      <c r="AA3" s="23">
        <v>2000.583339</v>
      </c>
      <c r="AB3" s="23">
        <v>2000.6666720000001</v>
      </c>
      <c r="AC3" s="23">
        <v>2000.7500050000001</v>
      </c>
      <c r="AD3" s="23">
        <v>2000.8333379999999</v>
      </c>
      <c r="AE3" s="23">
        <v>2000.916671</v>
      </c>
      <c r="AF3" s="423">
        <v>2001.000004</v>
      </c>
      <c r="AG3" s="23">
        <v>2001.083337</v>
      </c>
      <c r="AH3" s="23">
        <v>2001.1666700000001</v>
      </c>
      <c r="AI3" s="23">
        <v>2001.2500030000001</v>
      </c>
      <c r="AJ3" s="23">
        <v>2001.3333359999999</v>
      </c>
      <c r="AK3" s="23">
        <v>2001.416669</v>
      </c>
      <c r="AL3" s="23">
        <v>2001.500002</v>
      </c>
      <c r="AM3" s="23">
        <v>2001.583335</v>
      </c>
      <c r="AN3" s="23">
        <v>2001.6666680000001</v>
      </c>
      <c r="AO3" s="23">
        <v>2001.7500010000001</v>
      </c>
      <c r="AP3" s="23">
        <v>2001.8333339999999</v>
      </c>
      <c r="AQ3" s="23">
        <v>2001.916667</v>
      </c>
      <c r="AR3" s="423">
        <v>2002</v>
      </c>
      <c r="AS3" s="23">
        <v>2002.083333</v>
      </c>
      <c r="AT3" s="23">
        <v>2002.1666660000001</v>
      </c>
      <c r="AU3" s="23">
        <v>2002.2499989999999</v>
      </c>
      <c r="AV3" s="23">
        <v>2002.3333319999999</v>
      </c>
      <c r="AW3" s="23">
        <v>2002.416665</v>
      </c>
      <c r="AX3" s="23">
        <v>2002.499998</v>
      </c>
      <c r="AY3" s="23">
        <v>2002.583331</v>
      </c>
      <c r="AZ3" s="23">
        <v>2002.6666640000001</v>
      </c>
      <c r="BA3" s="23">
        <v>2002.7499969999999</v>
      </c>
      <c r="BB3" s="23">
        <v>2002.8333299999999</v>
      </c>
      <c r="BC3" s="23">
        <v>2002.916663</v>
      </c>
      <c r="BD3" s="23">
        <v>2002.999996</v>
      </c>
      <c r="BE3" s="23">
        <v>2003.083329</v>
      </c>
      <c r="BF3" s="23">
        <v>2003.1666620000001</v>
      </c>
      <c r="BG3" s="23">
        <v>2003.2499949999999</v>
      </c>
      <c r="BH3" s="23">
        <v>2003.3333279999999</v>
      </c>
      <c r="BI3" s="23">
        <v>2003.416661</v>
      </c>
      <c r="BJ3" s="23">
        <v>2003.499994</v>
      </c>
      <c r="BK3" s="23">
        <v>2003.5833270000001</v>
      </c>
      <c r="BL3" s="23">
        <v>2003.6666600000001</v>
      </c>
      <c r="BM3" s="23">
        <v>2003.7499929999999</v>
      </c>
      <c r="BN3" s="23">
        <v>2003.8333259999999</v>
      </c>
      <c r="BO3" s="23">
        <v>2003.916659</v>
      </c>
      <c r="BP3" s="456">
        <v>2003.999992</v>
      </c>
      <c r="BQ3" s="456">
        <v>2004.0833250000001</v>
      </c>
      <c r="BR3" s="456">
        <v>2004.1666580000001</v>
      </c>
      <c r="BS3" s="456">
        <v>2004.2499909999999</v>
      </c>
      <c r="BT3" s="456">
        <v>2004.3333239999999</v>
      </c>
      <c r="BU3" s="456">
        <v>2004.416657</v>
      </c>
      <c r="BV3" s="456">
        <v>2004.49999</v>
      </c>
      <c r="BW3" s="456">
        <v>2004.5833230000001</v>
      </c>
      <c r="BX3" s="456">
        <v>2004.6666560000001</v>
      </c>
      <c r="BY3" s="456">
        <v>2004.7499889999999</v>
      </c>
      <c r="BZ3" s="456">
        <v>2004.833322</v>
      </c>
      <c r="CA3" s="456">
        <v>2004.916655</v>
      </c>
      <c r="CB3" s="456">
        <v>2004.999988</v>
      </c>
      <c r="CC3" s="456">
        <v>2005.0833210000001</v>
      </c>
      <c r="CD3" s="456">
        <v>2005.1666540000001</v>
      </c>
      <c r="CE3" s="456">
        <v>2005.2499869999999</v>
      </c>
      <c r="CF3" s="456">
        <v>2005.33332</v>
      </c>
      <c r="CG3" s="456">
        <v>2005.416653</v>
      </c>
      <c r="CH3" s="456">
        <v>2005.499986</v>
      </c>
      <c r="CI3" s="456">
        <v>2005.5833190000001</v>
      </c>
      <c r="CJ3" s="456">
        <v>2005.6666520000001</v>
      </c>
      <c r="CK3" s="456">
        <v>2005.7499849999999</v>
      </c>
      <c r="CL3" s="456">
        <v>2005.833318</v>
      </c>
      <c r="CM3" s="456">
        <v>2005.916651</v>
      </c>
      <c r="CN3" s="456">
        <v>2005.999984</v>
      </c>
      <c r="CO3" s="456">
        <v>2006.0833170000001</v>
      </c>
      <c r="CP3" s="456">
        <v>2006.1666499999999</v>
      </c>
      <c r="CQ3" s="456">
        <v>2006.2499829999999</v>
      </c>
      <c r="CR3" s="456">
        <v>2006.333316</v>
      </c>
      <c r="CS3" s="456">
        <v>2006.416649</v>
      </c>
      <c r="CT3" s="456">
        <v>2006.499982</v>
      </c>
      <c r="CU3" s="456">
        <v>2006.5833150000001</v>
      </c>
      <c r="CV3" s="456">
        <v>2006.6666479999999</v>
      </c>
      <c r="CW3" s="456">
        <v>2006.7499809999999</v>
      </c>
      <c r="CX3" s="456">
        <v>2006.833314</v>
      </c>
      <c r="CY3" s="456">
        <v>2006.916647</v>
      </c>
      <c r="CZ3" s="456">
        <v>2006.9999800000001</v>
      </c>
      <c r="DA3" s="456">
        <v>2007.0833130000001</v>
      </c>
      <c r="DB3" s="456">
        <v>2007.1666459999999</v>
      </c>
      <c r="DC3" s="456">
        <v>2007.2499789999999</v>
      </c>
      <c r="DD3" s="456">
        <v>2007.333312</v>
      </c>
      <c r="DE3" s="456">
        <v>2007.416645</v>
      </c>
      <c r="DF3" s="456">
        <v>2007.4999780000001</v>
      </c>
      <c r="DG3" s="456">
        <v>2007.5833110000001</v>
      </c>
      <c r="DH3" s="456">
        <v>2007.6666439999999</v>
      </c>
      <c r="DI3" s="456">
        <v>2007.7499769999999</v>
      </c>
      <c r="DJ3" s="456">
        <v>2007.83331</v>
      </c>
      <c r="DK3" s="456">
        <v>2007.916643</v>
      </c>
      <c r="DL3" s="456">
        <v>2007.9999760000001</v>
      </c>
      <c r="DM3" s="456">
        <v>2008.0833090000001</v>
      </c>
      <c r="DN3" s="456">
        <v>2008.1666419999999</v>
      </c>
      <c r="DO3" s="456">
        <v>2008.2499749999999</v>
      </c>
      <c r="DP3" s="456">
        <v>2008.333308</v>
      </c>
      <c r="DQ3" s="456">
        <v>2008.416641</v>
      </c>
      <c r="DR3" s="456">
        <v>2008.4999740000001</v>
      </c>
      <c r="DS3" s="456">
        <v>2008.5833070000001</v>
      </c>
      <c r="DT3" s="456">
        <v>2008.6666399999999</v>
      </c>
      <c r="DU3" s="456">
        <v>2008.749973</v>
      </c>
      <c r="DV3" s="456">
        <v>2008.833306</v>
      </c>
      <c r="DW3" s="456">
        <v>2008.916639</v>
      </c>
      <c r="DX3" s="456">
        <v>2008.9999720000001</v>
      </c>
      <c r="DY3" s="456">
        <v>2009.0833050000001</v>
      </c>
      <c r="DZ3" s="456">
        <v>2009.1666379999999</v>
      </c>
      <c r="EA3" s="456">
        <v>2009.249971</v>
      </c>
      <c r="EB3" s="456">
        <v>2009.333304</v>
      </c>
      <c r="EC3" s="456">
        <v>2009.416637</v>
      </c>
      <c r="ED3" s="456">
        <v>2009.4999700000001</v>
      </c>
      <c r="EE3" s="456">
        <v>2009.5833029999999</v>
      </c>
      <c r="EF3" s="456">
        <v>2009.6666359999999</v>
      </c>
      <c r="EG3" s="456">
        <v>2009.749969</v>
      </c>
      <c r="EH3" s="456">
        <v>2009.833302</v>
      </c>
      <c r="EI3" s="456">
        <v>2009.916635</v>
      </c>
      <c r="EJ3" s="456">
        <v>2009.9999680000001</v>
      </c>
      <c r="EK3" s="456">
        <v>2010.0833009999999</v>
      </c>
      <c r="EL3" s="456">
        <v>2010.1666339999999</v>
      </c>
      <c r="EM3" s="456">
        <v>2010.249967</v>
      </c>
      <c r="EN3" s="456">
        <v>2010.3333</v>
      </c>
      <c r="EO3" s="456">
        <v>2010.416633</v>
      </c>
      <c r="EP3" s="456">
        <v>2010.4999660000001</v>
      </c>
      <c r="EQ3" s="456">
        <v>2010.5832989999999</v>
      </c>
      <c r="ER3" s="456">
        <v>2010.6666319999999</v>
      </c>
      <c r="ES3" s="456">
        <v>2010.749965</v>
      </c>
      <c r="ET3" s="456">
        <v>2010.833298</v>
      </c>
      <c r="EU3" s="456">
        <v>2010.9166310000001</v>
      </c>
      <c r="EV3" s="456">
        <v>2010.9999640000001</v>
      </c>
      <c r="EW3" s="456">
        <v>2011.0832969999999</v>
      </c>
      <c r="EX3" s="456">
        <v>2011.1666299999999</v>
      </c>
      <c r="EY3" s="456">
        <v>2011.249963</v>
      </c>
      <c r="EZ3" s="456">
        <v>2011.333296</v>
      </c>
      <c r="FA3" s="456">
        <v>2011.4166290000001</v>
      </c>
      <c r="FB3" s="456">
        <v>2011.4999620000001</v>
      </c>
      <c r="FC3" s="456">
        <v>2011.5832949999999</v>
      </c>
      <c r="FD3" s="456">
        <v>2011.6666279999999</v>
      </c>
      <c r="FE3" s="456">
        <v>2011.749961</v>
      </c>
      <c r="FF3" s="456">
        <v>2011.833294</v>
      </c>
      <c r="FG3" s="456">
        <v>2011.9166270000001</v>
      </c>
      <c r="FH3" s="456">
        <v>2011.9999600000001</v>
      </c>
      <c r="FI3" s="456">
        <v>2012.0832929999999</v>
      </c>
      <c r="FJ3" s="456">
        <v>2012.166626</v>
      </c>
      <c r="FK3" s="456">
        <v>2012.249959</v>
      </c>
      <c r="FL3" s="456">
        <v>2012.333292</v>
      </c>
      <c r="FM3" s="456">
        <v>2012.4166250000001</v>
      </c>
      <c r="FN3" s="456">
        <v>2012.4999580000001</v>
      </c>
      <c r="FO3" s="456">
        <v>2012.5832909999999</v>
      </c>
      <c r="FP3" s="456">
        <v>2012.666624</v>
      </c>
      <c r="FQ3" s="456">
        <v>2012.749957</v>
      </c>
      <c r="FR3" s="456">
        <v>2012.83329</v>
      </c>
      <c r="FS3" s="456">
        <v>2012.9166230000001</v>
      </c>
      <c r="FT3" s="456">
        <v>2012.9999560000001</v>
      </c>
      <c r="FU3" s="456">
        <v>2013.0832889999999</v>
      </c>
      <c r="FV3" s="456">
        <v>2013.166622</v>
      </c>
      <c r="FW3" s="456">
        <v>2013.249955</v>
      </c>
      <c r="FX3" s="456">
        <v>2013.333288</v>
      </c>
      <c r="FY3" s="456">
        <v>2013.4166210000001</v>
      </c>
      <c r="FZ3" s="456">
        <v>2013.4999539999999</v>
      </c>
      <c r="GA3" s="456">
        <v>2013.5832869999999</v>
      </c>
      <c r="GB3" s="456">
        <v>2013.66662</v>
      </c>
      <c r="GC3" s="456">
        <v>2013.749953</v>
      </c>
      <c r="GD3" s="456">
        <v>2013.833286</v>
      </c>
      <c r="GE3" s="456">
        <v>2013.9166190000001</v>
      </c>
      <c r="GF3" s="456">
        <v>2013.9999519999999</v>
      </c>
      <c r="GG3" s="456">
        <v>2014.0832849999999</v>
      </c>
      <c r="GH3" s="456">
        <v>2014.166618</v>
      </c>
      <c r="GI3" s="456">
        <v>2014.249951</v>
      </c>
      <c r="GJ3" s="456">
        <v>2014.333284</v>
      </c>
      <c r="GK3" s="456">
        <v>2014.4166170000001</v>
      </c>
      <c r="GL3" s="456">
        <v>2014.4999499999999</v>
      </c>
      <c r="GM3" s="456">
        <v>2014.5832829999999</v>
      </c>
      <c r="GN3" s="456">
        <v>2014.666616</v>
      </c>
      <c r="GO3" s="456">
        <v>2014.74994900001</v>
      </c>
      <c r="GP3" s="456">
        <v>2014.8332820000101</v>
      </c>
      <c r="GQ3" s="456">
        <v>2014.9166150000101</v>
      </c>
      <c r="GR3" s="456">
        <v>2014.9999480000099</v>
      </c>
      <c r="GS3" s="456">
        <v>2015.0832810000099</v>
      </c>
      <c r="GT3" s="456">
        <v>2015.16661400001</v>
      </c>
      <c r="GU3" s="456">
        <v>2015.24994700001</v>
      </c>
      <c r="GV3" s="456">
        <v>2015.3332800000101</v>
      </c>
      <c r="GW3" s="456">
        <v>2015.4166130000101</v>
      </c>
      <c r="GX3" s="456">
        <v>2015.4999460000099</v>
      </c>
      <c r="GY3" s="456">
        <v>2015.58327900001</v>
      </c>
      <c r="GZ3" s="456">
        <v>2015.66661200001</v>
      </c>
      <c r="HA3" s="456">
        <v>2015.74994500001</v>
      </c>
      <c r="HB3" s="456">
        <v>2015.8332780000101</v>
      </c>
      <c r="HC3" s="456">
        <v>2015.9166110000101</v>
      </c>
      <c r="HD3" s="456">
        <v>2015.9999440000099</v>
      </c>
      <c r="HE3" s="456">
        <v>2016.08327700001</v>
      </c>
      <c r="HF3" s="456">
        <v>2016.16661000001</v>
      </c>
      <c r="HG3" s="456">
        <v>2016.24994300001</v>
      </c>
      <c r="HH3" s="456">
        <v>2016.3332760000101</v>
      </c>
      <c r="HI3" s="456">
        <v>2016.4166090000101</v>
      </c>
      <c r="HJ3" s="456">
        <v>2016.4999420000099</v>
      </c>
      <c r="HK3" s="456">
        <v>2016.58327500001</v>
      </c>
      <c r="HL3" s="456">
        <v>2016.66660800001</v>
      </c>
      <c r="HM3" s="456">
        <v>2016.74994100001</v>
      </c>
      <c r="HN3" s="456">
        <v>2016.8332740000101</v>
      </c>
      <c r="HO3" s="456">
        <v>2016.9166070000099</v>
      </c>
      <c r="HP3" s="456">
        <v>2016.9999400000099</v>
      </c>
      <c r="HQ3" s="456">
        <v>2017.08327300001</v>
      </c>
      <c r="HR3" s="456">
        <v>2017.16660600001</v>
      </c>
      <c r="HS3" s="456">
        <v>2017.24993900001</v>
      </c>
      <c r="HT3" s="456">
        <v>2017.3332720000101</v>
      </c>
      <c r="HU3" s="456">
        <v>2017.4166050000099</v>
      </c>
      <c r="HV3" s="456">
        <v>2017.4999380000099</v>
      </c>
      <c r="HW3" s="456">
        <v>2017.58327100001</v>
      </c>
      <c r="HX3" s="456">
        <v>2017.66660400001</v>
      </c>
      <c r="HY3" s="456">
        <v>2017.74993700001</v>
      </c>
      <c r="HZ3" s="456">
        <v>2017.8332700000101</v>
      </c>
      <c r="IA3" s="456">
        <v>2017.9166030000099</v>
      </c>
      <c r="IB3" s="456">
        <v>2017.9999360000099</v>
      </c>
      <c r="IC3" s="456">
        <v>2018.08326900001</v>
      </c>
      <c r="ID3" s="456">
        <v>2018.16660200001</v>
      </c>
      <c r="IE3" s="456">
        <v>2018.2499350000101</v>
      </c>
      <c r="IF3" s="456">
        <v>2018.3332680000101</v>
      </c>
      <c r="IG3" s="456">
        <v>2018.4166010000099</v>
      </c>
      <c r="IH3" s="456">
        <v>2018.4999340000099</v>
      </c>
      <c r="II3" s="456">
        <v>2018.58326700001</v>
      </c>
      <c r="IJ3" s="456">
        <v>2018.66660000001</v>
      </c>
      <c r="IK3" s="456">
        <v>2018.7499330000101</v>
      </c>
      <c r="IL3" s="456">
        <v>2018.8332660000101</v>
      </c>
      <c r="IM3" s="456">
        <v>2018.9165990000099</v>
      </c>
      <c r="IN3" s="456">
        <v>2018.9999320000099</v>
      </c>
      <c r="IO3" s="456">
        <v>2019.08326500001</v>
      </c>
      <c r="IP3" s="456">
        <v>2019.16659800001</v>
      </c>
      <c r="IQ3" s="456">
        <v>2019.2499310000101</v>
      </c>
      <c r="IR3" s="456">
        <v>2019.3332640000101</v>
      </c>
      <c r="IS3" s="456">
        <v>2019.4165970000099</v>
      </c>
      <c r="IT3" s="456">
        <v>2019.49993000001</v>
      </c>
      <c r="IU3" s="456">
        <v>2019.58326300001</v>
      </c>
      <c r="IV3" s="456">
        <v>2019.66659600001</v>
      </c>
      <c r="IW3" s="456">
        <v>2019.7499290000101</v>
      </c>
      <c r="IX3" s="456">
        <v>2019.8332620000101</v>
      </c>
      <c r="IY3" s="456">
        <v>2019.9165950000099</v>
      </c>
      <c r="IZ3" s="456">
        <v>2019.99992800001</v>
      </c>
      <c r="JA3" s="456">
        <v>2020.08326100001</v>
      </c>
      <c r="JB3" s="456">
        <v>2020.16659400001</v>
      </c>
      <c r="JC3" s="456">
        <v>2020.2499270000101</v>
      </c>
      <c r="JD3" s="456">
        <v>2020.3332600000099</v>
      </c>
      <c r="JE3" s="456">
        <v>2020.4165930000099</v>
      </c>
      <c r="JF3" s="456">
        <v>2020.49992600001</v>
      </c>
      <c r="JG3" s="456">
        <v>2020.58325900001</v>
      </c>
      <c r="JH3" s="456">
        <v>2020.66659200001</v>
      </c>
      <c r="JI3" s="456">
        <v>2020.7499250000101</v>
      </c>
      <c r="JJ3" s="456">
        <v>2020.8332580000099</v>
      </c>
      <c r="JK3" s="456">
        <v>2020.9165910000099</v>
      </c>
    </row>
    <row r="4" spans="1:354" x14ac:dyDescent="0.25">
      <c r="A4" s="525" t="s">
        <v>478</v>
      </c>
      <c r="B4" s="525"/>
      <c r="C4" s="525"/>
      <c r="D4" s="525"/>
      <c r="E4" s="525"/>
      <c r="F4" s="525"/>
      <c r="G4" s="525"/>
      <c r="H4" s="436">
        <v>9771065.5693643093</v>
      </c>
      <c r="I4" s="436">
        <v>9804399.3227863312</v>
      </c>
      <c r="J4" s="436">
        <v>9837733.0762084723</v>
      </c>
      <c r="K4" s="436">
        <v>9871066.8296306133</v>
      </c>
      <c r="L4" s="436">
        <v>9904400.5830526352</v>
      </c>
      <c r="M4" s="436">
        <v>9937734.3364746571</v>
      </c>
      <c r="N4" s="436">
        <v>9971068.0898967981</v>
      </c>
      <c r="O4" s="436">
        <v>10004401.843318939</v>
      </c>
      <c r="P4" s="436">
        <v>10037735.59674108</v>
      </c>
      <c r="Q4" s="436">
        <v>10071069.350163102</v>
      </c>
      <c r="R4" s="436">
        <v>10104403.103585124</v>
      </c>
      <c r="S4" s="436">
        <v>10137736.857007265</v>
      </c>
      <c r="T4" s="436">
        <v>10171070.610429406</v>
      </c>
      <c r="U4" s="436">
        <v>10204404.363851428</v>
      </c>
      <c r="V4" s="436">
        <v>10237738.117273569</v>
      </c>
      <c r="W4" s="436">
        <v>10271071.87069571</v>
      </c>
      <c r="X4" s="436">
        <v>10304405.624117732</v>
      </c>
      <c r="Y4" s="436">
        <v>10337739.377539754</v>
      </c>
      <c r="Z4" s="436">
        <v>10371073.130961895</v>
      </c>
      <c r="AA4" s="436">
        <v>10404406.884384036</v>
      </c>
      <c r="AB4" s="436">
        <v>10437740.637806177</v>
      </c>
      <c r="AC4" s="436">
        <v>10471074.391228199</v>
      </c>
      <c r="AD4" s="436">
        <v>10504408.144650221</v>
      </c>
      <c r="AE4" s="436">
        <v>10537741.898072362</v>
      </c>
      <c r="AF4" s="436">
        <v>10571075.651494503</v>
      </c>
      <c r="AG4" s="436">
        <v>10604409.404916525</v>
      </c>
      <c r="AH4" s="436">
        <v>10637743.158338666</v>
      </c>
      <c r="AI4" s="436">
        <v>10671076.911760807</v>
      </c>
      <c r="AJ4" s="436">
        <v>10704410.665182829</v>
      </c>
      <c r="AK4" s="436">
        <v>10737744.41860497</v>
      </c>
      <c r="AL4" s="436">
        <v>10771078.172026992</v>
      </c>
      <c r="AM4" s="436">
        <v>10804411.925449133</v>
      </c>
      <c r="AN4" s="436">
        <v>10837745.678871274</v>
      </c>
      <c r="AO4" s="436">
        <v>10871079.432293296</v>
      </c>
      <c r="AP4" s="436">
        <v>10904413.185715318</v>
      </c>
      <c r="AQ4" s="436">
        <v>10937746.939137459</v>
      </c>
      <c r="AR4" s="503">
        <v>11187952.5060213</v>
      </c>
      <c r="AS4" s="503">
        <v>10510982.9376828</v>
      </c>
      <c r="AT4" s="503">
        <v>11197347.0664421</v>
      </c>
      <c r="AU4" s="503">
        <v>11329293.209535001</v>
      </c>
      <c r="AV4" s="503">
        <v>11436508.9367285</v>
      </c>
      <c r="AW4" s="503">
        <v>10967460.088831799</v>
      </c>
      <c r="AX4" s="503">
        <v>11472925.815894701</v>
      </c>
      <c r="AY4" s="503">
        <v>11481066.0780765</v>
      </c>
      <c r="AZ4" s="503">
        <v>11001088.059449701</v>
      </c>
      <c r="BA4" s="503">
        <v>11543617.9398701</v>
      </c>
      <c r="BB4" s="503">
        <v>10991532.5351297</v>
      </c>
      <c r="BC4" s="503">
        <v>11280185.896237999</v>
      </c>
      <c r="BD4" s="503">
        <v>11220459.762238801</v>
      </c>
      <c r="BE4" s="503">
        <v>10487433.1891897</v>
      </c>
      <c r="BF4" s="503">
        <v>11316407.568479801</v>
      </c>
      <c r="BG4" s="503">
        <v>11258365.617278</v>
      </c>
      <c r="BH4" s="503">
        <v>11510764.452086199</v>
      </c>
      <c r="BI4" s="503">
        <v>11346387.306830101</v>
      </c>
      <c r="BJ4" s="503">
        <v>11669556.5244481</v>
      </c>
      <c r="BK4" s="503">
        <v>11669255.790466901</v>
      </c>
      <c r="BL4" s="503">
        <v>11606104.5030607</v>
      </c>
      <c r="BM4" s="503">
        <v>12074665.704574</v>
      </c>
      <c r="BN4" s="503">
        <v>11324717.478053899</v>
      </c>
      <c r="BO4" s="503">
        <v>11931646.6977094</v>
      </c>
      <c r="BP4" s="503">
        <v>11699746.752971301</v>
      </c>
      <c r="BQ4" s="503">
        <v>11307837.5473786</v>
      </c>
      <c r="BR4" s="503">
        <v>12223454.194114201</v>
      </c>
      <c r="BS4" s="503">
        <v>11927089.760556201</v>
      </c>
      <c r="BT4" s="503">
        <v>11797530.9522589</v>
      </c>
      <c r="BU4" s="503">
        <v>12169314.378616</v>
      </c>
      <c r="BV4" s="503">
        <v>12221236.976350799</v>
      </c>
      <c r="BW4" s="503">
        <v>12409746.7169121</v>
      </c>
      <c r="BX4" s="503">
        <v>12125991.0555791</v>
      </c>
      <c r="BY4" s="503">
        <v>12272992.3121698</v>
      </c>
      <c r="BZ4" s="503">
        <v>12184447.4906117</v>
      </c>
      <c r="CA4" s="503">
        <v>12461188.9084298</v>
      </c>
      <c r="CB4" s="503">
        <v>12247309.8125429</v>
      </c>
      <c r="CC4" s="503">
        <v>11787983.3784375</v>
      </c>
      <c r="CD4" s="503">
        <v>12751312.9154427</v>
      </c>
      <c r="CE4" s="503">
        <v>12216534.209853999</v>
      </c>
      <c r="CF4" s="503">
        <v>12372077.228078701</v>
      </c>
      <c r="CG4" s="503">
        <v>12536791.315885801</v>
      </c>
      <c r="CH4" s="503">
        <v>12273714.7695227</v>
      </c>
      <c r="CI4" s="503">
        <v>12512081.3801172</v>
      </c>
      <c r="CJ4" s="503">
        <v>12134174.938840499</v>
      </c>
      <c r="CK4" s="503">
        <v>12205868.9936406</v>
      </c>
      <c r="CL4" s="503">
        <v>12125538.391852699</v>
      </c>
      <c r="CM4" s="503">
        <v>12432657.058496401</v>
      </c>
      <c r="CN4" s="503">
        <v>13288463.991721001</v>
      </c>
      <c r="CO4" s="503">
        <v>12570583.021366401</v>
      </c>
      <c r="CP4" s="503">
        <v>13839361.860235799</v>
      </c>
      <c r="CQ4" s="503">
        <v>12968536.023</v>
      </c>
      <c r="CR4" s="503">
        <v>13790582.7906757</v>
      </c>
      <c r="CS4" s="503">
        <v>13644398.611530701</v>
      </c>
      <c r="CT4" s="503">
        <v>13380531.169492999</v>
      </c>
      <c r="CU4" s="503">
        <v>14077200.8286297</v>
      </c>
      <c r="CV4" s="503">
        <v>13437094.656443199</v>
      </c>
      <c r="CW4" s="503">
        <v>13747738.965964099</v>
      </c>
      <c r="CX4" s="503">
        <v>13533884.0456562</v>
      </c>
      <c r="CY4" s="503">
        <v>13506787.3930212</v>
      </c>
      <c r="CZ4" s="503">
        <v>13970490.611140899</v>
      </c>
      <c r="DA4" s="503">
        <v>12940909.984064501</v>
      </c>
      <c r="DB4" s="503">
        <v>14211347.4762586</v>
      </c>
      <c r="DC4" s="503">
        <v>13740119.315105001</v>
      </c>
      <c r="DD4" s="503">
        <v>14275171.289922699</v>
      </c>
      <c r="DE4" s="503">
        <v>13968509.550695101</v>
      </c>
      <c r="DF4" s="503">
        <v>14158976.8087206</v>
      </c>
      <c r="DG4" s="503">
        <v>14578787.4782279</v>
      </c>
      <c r="DH4" s="503">
        <v>13546101.472951399</v>
      </c>
      <c r="DI4" s="503">
        <v>14465511.6140793</v>
      </c>
      <c r="DJ4" s="503">
        <v>13969161.306947101</v>
      </c>
      <c r="DK4" s="503">
        <v>13822520.9488724</v>
      </c>
      <c r="DL4" s="503">
        <v>14511493.9864769</v>
      </c>
      <c r="DM4" s="503">
        <v>14004546.7377533</v>
      </c>
      <c r="DN4" s="503">
        <v>14342379.424790701</v>
      </c>
      <c r="DO4" s="503">
        <v>14415160.316734601</v>
      </c>
      <c r="DP4" s="503">
        <v>14552518.0448786</v>
      </c>
      <c r="DQ4" s="503">
        <v>14186353.3925563</v>
      </c>
      <c r="DR4" s="503">
        <v>14855188.653768601</v>
      </c>
      <c r="DS4" s="503">
        <v>14537076.8300195</v>
      </c>
      <c r="DT4" s="503">
        <v>14371900.5928143</v>
      </c>
      <c r="DU4" s="503">
        <v>14838537.6173438</v>
      </c>
      <c r="DV4" s="503">
        <v>13863330.823666999</v>
      </c>
      <c r="DW4" s="503">
        <v>14742784.647249799</v>
      </c>
      <c r="DX4" s="503">
        <v>14757534.5842357</v>
      </c>
      <c r="DY4" s="503">
        <v>14142537.7155865</v>
      </c>
      <c r="DZ4" s="503">
        <v>15193720.490542499</v>
      </c>
      <c r="EA4" s="503">
        <v>15065566.726024101</v>
      </c>
      <c r="EB4" s="503">
        <v>14921402.4081145</v>
      </c>
      <c r="EC4" s="503">
        <v>15065512.4372855</v>
      </c>
      <c r="ED4" s="503">
        <v>15108624.5288605</v>
      </c>
      <c r="EE4" s="503">
        <v>14719802.710105199</v>
      </c>
      <c r="EF4" s="503">
        <v>14748794.362054899</v>
      </c>
      <c r="EG4" s="503">
        <v>14917168.746628899</v>
      </c>
      <c r="EH4" s="503">
        <v>14329638.5745703</v>
      </c>
      <c r="EI4" s="503">
        <v>15223904.144719301</v>
      </c>
      <c r="EJ4" s="503">
        <v>14733264.3818291</v>
      </c>
      <c r="EK4" s="503">
        <v>14244692.8244504</v>
      </c>
      <c r="EL4" s="503">
        <v>15867048.421584601</v>
      </c>
      <c r="EM4" s="503">
        <v>15344531.574398801</v>
      </c>
      <c r="EN4" s="503">
        <v>15177377.660721799</v>
      </c>
      <c r="EO4" s="503">
        <v>15730781.4151401</v>
      </c>
      <c r="EP4" s="503">
        <v>15595303.495380901</v>
      </c>
      <c r="EQ4" s="503">
        <v>15803091.0318415</v>
      </c>
      <c r="ER4" s="503">
        <v>15462162.178659599</v>
      </c>
      <c r="ES4" s="503">
        <v>15438569.721162399</v>
      </c>
      <c r="ET4" s="503">
        <v>15395279.890490901</v>
      </c>
      <c r="EU4" s="503">
        <v>15651243.981065201</v>
      </c>
      <c r="EV4" s="503">
        <v>15259035.664322799</v>
      </c>
      <c r="EW4" s="503">
        <v>14702805.8609265</v>
      </c>
      <c r="EX4" s="503">
        <v>16158413.4639282</v>
      </c>
      <c r="EY4" s="503">
        <v>15303334.188647401</v>
      </c>
      <c r="EZ4" s="503">
        <v>15646169.926116399</v>
      </c>
      <c r="FA4" s="503">
        <v>15814728.5756664</v>
      </c>
      <c r="FB4" s="503">
        <v>15371781.0734597</v>
      </c>
      <c r="FC4" s="503">
        <v>16166062.140657101</v>
      </c>
      <c r="FD4" s="503">
        <v>15563479.716422901</v>
      </c>
      <c r="FE4" s="503">
        <v>15451637.318344001</v>
      </c>
      <c r="FF4" s="503">
        <v>15555966.0913914</v>
      </c>
      <c r="FG4" s="503">
        <v>15641147.0770567</v>
      </c>
      <c r="FH4" s="503">
        <v>15963360.4360372</v>
      </c>
      <c r="FI4" s="503">
        <v>15608501.642578799</v>
      </c>
      <c r="FJ4" s="503">
        <v>16375755.7861742</v>
      </c>
      <c r="FK4" s="503">
        <v>15799406.194172701</v>
      </c>
      <c r="FL4" s="503">
        <v>16293127.1115875</v>
      </c>
      <c r="FM4" s="503">
        <v>15930813.856041299</v>
      </c>
      <c r="FN4" s="503">
        <v>16007222.0467753</v>
      </c>
      <c r="FO4" s="503">
        <v>16473057.445722099</v>
      </c>
      <c r="FP4" s="503">
        <v>15374857.8581979</v>
      </c>
      <c r="FQ4" s="503">
        <v>16321722.7455959</v>
      </c>
      <c r="FR4" s="503">
        <v>15831430.3953925</v>
      </c>
      <c r="FS4" s="503">
        <v>15674188.486771399</v>
      </c>
      <c r="FT4" s="503">
        <v>15870272.5331492</v>
      </c>
      <c r="FU4" s="503">
        <v>14735609.0856582</v>
      </c>
      <c r="FV4" s="503">
        <v>15525360.044725699</v>
      </c>
      <c r="FW4" s="503">
        <v>15605968.985522101</v>
      </c>
      <c r="FX4" s="503">
        <v>15739116.175051801</v>
      </c>
      <c r="FY4" s="503">
        <v>15130783.526475901</v>
      </c>
      <c r="FZ4" s="503">
        <v>15774143.280611601</v>
      </c>
      <c r="GA4" s="503">
        <v>15707002.534168901</v>
      </c>
      <c r="GB4" s="503">
        <v>15073727.2909481</v>
      </c>
      <c r="GC4" s="503">
        <v>15870638.740080399</v>
      </c>
      <c r="GD4" s="503">
        <v>15037911.855670501</v>
      </c>
      <c r="GE4" s="503">
        <v>15578002.3916457</v>
      </c>
      <c r="GF4" s="503">
        <v>15361759.172958801</v>
      </c>
      <c r="GG4" s="503">
        <v>14504632.1781167</v>
      </c>
      <c r="GH4" s="503">
        <v>15381561.145170201</v>
      </c>
      <c r="GI4" s="503">
        <v>15428564.1117409</v>
      </c>
      <c r="GJ4" s="503">
        <v>15557460.063814299</v>
      </c>
      <c r="GK4" s="503">
        <v>15351093.290921999</v>
      </c>
      <c r="GL4" s="503">
        <v>15867550.041472699</v>
      </c>
      <c r="GM4" s="503">
        <v>15409806.232143801</v>
      </c>
      <c r="GN4" s="503">
        <v>15207511.075762</v>
      </c>
      <c r="GO4" s="503">
        <v>15111965.0385019</v>
      </c>
      <c r="GP4" s="503">
        <v>13968289.129042801</v>
      </c>
      <c r="GQ4" s="503">
        <v>15131263.3086602</v>
      </c>
      <c r="GR4" s="503">
        <v>14541185.516484501</v>
      </c>
      <c r="GS4" s="503">
        <v>13647548.997731</v>
      </c>
      <c r="GT4" s="503">
        <v>14788686.666591801</v>
      </c>
      <c r="GU4" s="503">
        <v>14652116.0780965</v>
      </c>
      <c r="GV4" s="503">
        <v>14436651.4772732</v>
      </c>
      <c r="GW4" s="503">
        <v>14740728.9152583</v>
      </c>
      <c r="GX4" s="503">
        <v>14924629.147068501</v>
      </c>
      <c r="GY4" s="503">
        <v>14528750.8789206</v>
      </c>
      <c r="GZ4" s="503">
        <v>14422116.0678641</v>
      </c>
      <c r="HA4" s="503">
        <v>14696683.807185199</v>
      </c>
      <c r="HB4" s="503">
        <v>13986016.5774465</v>
      </c>
      <c r="HC4" s="503">
        <v>14850127.134493699</v>
      </c>
      <c r="HD4" s="503">
        <v>14105163.945302401</v>
      </c>
      <c r="HE4" s="503">
        <v>13977058.1187506</v>
      </c>
      <c r="HF4" s="503">
        <v>14642351.330147</v>
      </c>
      <c r="HG4" s="503">
        <v>13951451.262310499</v>
      </c>
      <c r="HH4" s="503">
        <v>13910719.6020991</v>
      </c>
      <c r="HI4" s="503">
        <v>14008332.9892834</v>
      </c>
      <c r="HJ4" s="503">
        <v>13631697.938761299</v>
      </c>
      <c r="HK4" s="503">
        <v>14186401.822714901</v>
      </c>
      <c r="HL4" s="503">
        <v>13605432.871536201</v>
      </c>
      <c r="HM4" s="503">
        <v>13537226.7476057</v>
      </c>
      <c r="HN4" s="503">
        <v>13485283.461153001</v>
      </c>
      <c r="HO4" s="503">
        <v>13767460.058963601</v>
      </c>
      <c r="HP4" s="503">
        <v>13198498.618202001</v>
      </c>
      <c r="HQ4" s="503">
        <v>12451260.8848815</v>
      </c>
      <c r="HR4" s="503">
        <v>13538649.0804347</v>
      </c>
      <c r="HS4" s="503">
        <v>12565129.514038</v>
      </c>
      <c r="HT4" s="503">
        <v>13058211.457840599</v>
      </c>
      <c r="HU4" s="503">
        <v>12940106.812860999</v>
      </c>
      <c r="HV4" s="503">
        <v>12381472.986002499</v>
      </c>
      <c r="HW4" s="503">
        <v>12770130.1316435</v>
      </c>
      <c r="HX4" s="503">
        <v>12078991.139681799</v>
      </c>
      <c r="HY4" s="503">
        <v>12349572.7701951</v>
      </c>
      <c r="HZ4" s="503">
        <v>11964422.7690276</v>
      </c>
      <c r="IA4" s="503">
        <v>12001937.8532982</v>
      </c>
      <c r="IB4" s="503">
        <v>11860175.4932274</v>
      </c>
      <c r="IC4" s="503">
        <v>10995791.3589007</v>
      </c>
      <c r="ID4" s="503">
        <v>11732706.896926301</v>
      </c>
      <c r="IE4" s="503">
        <v>11349352.481164001</v>
      </c>
      <c r="IF4" s="503">
        <v>11646008.3675086</v>
      </c>
      <c r="IG4" s="503">
        <v>11283967.2341756</v>
      </c>
      <c r="IH4" s="503">
        <v>11119440.638694201</v>
      </c>
      <c r="II4" s="503">
        <v>11415288.2269386</v>
      </c>
      <c r="IJ4" s="503">
        <v>10530877.8479732</v>
      </c>
      <c r="IK4" s="503">
        <v>11103312.648858201</v>
      </c>
      <c r="IL4" s="503">
        <v>10718454.4252236</v>
      </c>
      <c r="IM4" s="436">
        <v>10590883.649802901</v>
      </c>
      <c r="IN4" s="503">
        <v>10707812.282809099</v>
      </c>
      <c r="IO4" s="503">
        <v>10002654.8391032</v>
      </c>
      <c r="IP4" s="503">
        <v>10629472.530809101</v>
      </c>
      <c r="IQ4" s="503">
        <v>10481340.040472999</v>
      </c>
      <c r="IR4" s="503">
        <v>10607337.146670099</v>
      </c>
      <c r="IS4" s="503">
        <v>10109040.851751801</v>
      </c>
      <c r="IT4" s="503">
        <v>10431971.5618407</v>
      </c>
      <c r="IU4" s="503">
        <v>10440657.4966489</v>
      </c>
      <c r="IV4" s="503">
        <v>9830478.8814189993</v>
      </c>
      <c r="IW4" s="503">
        <v>10354900.769029001</v>
      </c>
      <c r="IX4" s="503">
        <v>9780370.9744267594</v>
      </c>
      <c r="IY4" s="503">
        <v>10102643.396221999</v>
      </c>
      <c r="IZ4" s="503">
        <v>10003362.516647501</v>
      </c>
      <c r="JA4" s="503">
        <v>9461095.0853907801</v>
      </c>
      <c r="JB4" s="503">
        <v>9449334.9755158592</v>
      </c>
      <c r="JC4" s="503">
        <v>8306440.3417589301</v>
      </c>
      <c r="JD4" s="503">
        <v>9185204.33418574</v>
      </c>
      <c r="JE4" s="503">
        <v>9850061.9279911593</v>
      </c>
      <c r="JF4" s="503">
        <v>10016054.9283482</v>
      </c>
      <c r="JG4" s="503">
        <v>9727640.8265188709</v>
      </c>
      <c r="JH4" s="503">
        <v>9686325.0823217202</v>
      </c>
      <c r="JI4" s="503">
        <v>9923355.9601482507</v>
      </c>
      <c r="JJ4" s="503">
        <v>9303801.0804188102</v>
      </c>
      <c r="JK4" s="503">
        <v>9810222.3616666701</v>
      </c>
      <c r="JL4" s="525"/>
      <c r="JM4" s="525"/>
      <c r="JN4" s="525"/>
      <c r="JO4" s="525"/>
      <c r="JP4" s="525"/>
      <c r="JQ4" s="525"/>
      <c r="JR4" s="525"/>
      <c r="JS4" s="525"/>
      <c r="JT4" s="525"/>
      <c r="JU4" s="525"/>
      <c r="JV4" s="525"/>
      <c r="JW4" s="525"/>
      <c r="JX4" s="525"/>
      <c r="JY4" s="525"/>
      <c r="JZ4" s="525"/>
      <c r="KA4" s="525"/>
      <c r="KB4" s="525"/>
      <c r="KC4" s="525"/>
      <c r="KD4" s="525"/>
      <c r="KE4" s="525"/>
      <c r="KF4" s="525"/>
      <c r="KG4" s="525"/>
      <c r="KH4" s="525"/>
      <c r="KI4" s="525"/>
      <c r="KJ4" s="525"/>
      <c r="KK4" s="525"/>
      <c r="KL4" s="525"/>
      <c r="KM4" s="525"/>
      <c r="KN4" s="525"/>
      <c r="KO4" s="525"/>
      <c r="KP4" s="525"/>
      <c r="KQ4" s="525"/>
      <c r="KR4" s="525"/>
      <c r="KS4" s="525"/>
      <c r="KT4" s="525"/>
      <c r="KU4" s="525"/>
      <c r="KV4" s="525"/>
      <c r="KW4" s="525"/>
      <c r="KX4" s="525"/>
      <c r="KY4" s="525"/>
      <c r="KZ4" s="525"/>
      <c r="LA4" s="525"/>
      <c r="LB4" s="525"/>
      <c r="LC4" s="525"/>
      <c r="LD4" s="525"/>
      <c r="LE4" s="525"/>
      <c r="LF4" s="525"/>
      <c r="LG4" s="525"/>
      <c r="LH4" s="525"/>
      <c r="LI4" s="525"/>
      <c r="LJ4" s="525"/>
      <c r="LK4" s="525"/>
      <c r="LL4" s="525"/>
      <c r="LM4" s="525"/>
      <c r="LN4" s="525"/>
      <c r="LO4" s="525"/>
      <c r="LP4" s="525"/>
      <c r="LQ4" s="525"/>
      <c r="LR4" s="525"/>
      <c r="LS4" s="525"/>
      <c r="LT4" s="525"/>
      <c r="LU4" s="525"/>
      <c r="LV4" s="525"/>
      <c r="LW4" s="525"/>
      <c r="LX4" s="525"/>
      <c r="LY4" s="525"/>
      <c r="LZ4" s="525"/>
      <c r="MA4" s="525"/>
      <c r="MB4" s="525"/>
      <c r="MC4" s="525"/>
      <c r="MD4" s="525"/>
      <c r="ME4" s="525"/>
      <c r="MF4" s="525"/>
      <c r="MG4" s="525"/>
      <c r="MH4" s="525"/>
      <c r="MI4" s="525"/>
      <c r="MJ4" s="525"/>
      <c r="MK4" s="525"/>
      <c r="ML4" s="525"/>
      <c r="MM4" s="525"/>
      <c r="MN4" s="525"/>
      <c r="MO4" s="525"/>
      <c r="MP4" s="525"/>
    </row>
    <row r="5" spans="1:354" x14ac:dyDescent="0.25">
      <c r="A5" s="525"/>
      <c r="B5" s="525"/>
      <c r="C5" s="525"/>
      <c r="D5" s="525"/>
      <c r="E5" s="525"/>
      <c r="F5" s="525"/>
      <c r="G5" s="525"/>
      <c r="H5" s="525"/>
      <c r="I5" s="525"/>
      <c r="J5" s="525"/>
      <c r="K5" s="525"/>
      <c r="L5" s="525"/>
      <c r="M5" s="525"/>
      <c r="N5" s="525"/>
      <c r="O5" s="525"/>
      <c r="P5" s="525"/>
      <c r="Q5" s="525"/>
      <c r="R5" s="525"/>
      <c r="S5" s="525"/>
      <c r="T5" s="525"/>
      <c r="U5" s="525"/>
      <c r="V5" s="525"/>
      <c r="W5" s="525"/>
      <c r="X5" s="525"/>
      <c r="Y5" s="525"/>
      <c r="Z5" s="525"/>
      <c r="AA5" s="525"/>
      <c r="AB5" s="525"/>
      <c r="AC5" s="525"/>
      <c r="AD5" s="525"/>
      <c r="AE5" s="525"/>
      <c r="AF5" s="525"/>
      <c r="AG5" s="525"/>
      <c r="AH5" s="525"/>
      <c r="AI5" s="525"/>
      <c r="AJ5" s="525"/>
      <c r="AK5" s="525"/>
      <c r="AL5" s="525"/>
      <c r="AM5" s="525"/>
      <c r="AN5" s="525"/>
      <c r="AO5" s="525"/>
      <c r="AP5" s="525"/>
      <c r="AQ5" s="525"/>
      <c r="AR5" s="525"/>
      <c r="AS5" s="525"/>
      <c r="AT5" s="525"/>
      <c r="AU5" s="525"/>
      <c r="AV5" s="525"/>
      <c r="AW5" s="525"/>
      <c r="AX5" s="525"/>
      <c r="AY5" s="525"/>
      <c r="AZ5" s="525"/>
      <c r="BA5" s="525"/>
      <c r="BB5" s="525"/>
      <c r="BC5" s="525"/>
      <c r="BD5" s="525"/>
      <c r="BE5" s="525"/>
      <c r="BF5" s="525"/>
      <c r="BG5" s="525"/>
      <c r="BH5" s="525"/>
      <c r="BI5" s="525"/>
      <c r="BJ5" s="525"/>
      <c r="BK5" s="525"/>
      <c r="BL5" s="525"/>
      <c r="BM5" s="525"/>
      <c r="BN5" s="525"/>
      <c r="BO5" s="525"/>
      <c r="BP5" s="525"/>
      <c r="BQ5" s="525"/>
      <c r="BR5" s="525"/>
      <c r="BS5" s="525"/>
      <c r="BT5" s="525"/>
      <c r="BU5" s="525"/>
      <c r="BV5" s="525"/>
      <c r="BW5" s="525"/>
      <c r="BX5" s="525"/>
      <c r="BY5" s="525"/>
      <c r="BZ5" s="525"/>
      <c r="CA5" s="525"/>
      <c r="CB5" s="525"/>
      <c r="CC5" s="525"/>
      <c r="CD5" s="525"/>
      <c r="CE5" s="525"/>
      <c r="CF5" s="525"/>
      <c r="CG5" s="525"/>
      <c r="CH5" s="525"/>
      <c r="CI5" s="525"/>
      <c r="CJ5" s="525"/>
      <c r="CK5" s="525"/>
      <c r="CL5" s="525"/>
      <c r="CM5" s="525"/>
      <c r="CN5" s="525"/>
      <c r="CO5" s="525"/>
      <c r="CP5" s="525"/>
      <c r="CQ5" s="525"/>
      <c r="CR5" s="525"/>
      <c r="CS5" s="525"/>
      <c r="CT5" s="525"/>
      <c r="CU5" s="525"/>
      <c r="CV5" s="525"/>
      <c r="CW5" s="525"/>
      <c r="CX5" s="525"/>
      <c r="CY5" s="525"/>
      <c r="CZ5" s="525"/>
      <c r="DA5" s="525"/>
      <c r="DB5" s="525"/>
      <c r="DC5" s="525"/>
      <c r="DD5" s="525"/>
      <c r="DE5" s="525"/>
      <c r="DF5" s="525"/>
      <c r="DG5" s="525"/>
      <c r="DH5" s="525"/>
      <c r="DI5" s="525"/>
      <c r="DJ5" s="525"/>
      <c r="DK5" s="525"/>
      <c r="DL5" s="525"/>
      <c r="DM5" s="525"/>
      <c r="DN5" s="525"/>
      <c r="DO5" s="525"/>
      <c r="DP5" s="525"/>
      <c r="DQ5" s="525"/>
      <c r="DR5" s="525"/>
      <c r="DS5" s="525"/>
      <c r="DT5" s="525"/>
      <c r="DU5" s="525"/>
      <c r="DV5" s="525"/>
      <c r="DW5" s="525"/>
      <c r="DX5" s="525"/>
      <c r="DY5" s="525"/>
      <c r="DZ5" s="525"/>
      <c r="EA5" s="525"/>
      <c r="EB5" s="525"/>
      <c r="EC5" s="525"/>
      <c r="ED5" s="525"/>
      <c r="EE5" s="525"/>
      <c r="EF5" s="525"/>
      <c r="EG5" s="525"/>
      <c r="EH5" s="525"/>
      <c r="EI5" s="525"/>
      <c r="EJ5" s="525"/>
      <c r="EK5" s="525"/>
      <c r="EL5" s="525"/>
      <c r="EM5" s="525"/>
      <c r="EN5" s="525"/>
      <c r="EO5" s="525"/>
      <c r="EP5" s="525"/>
      <c r="EQ5" s="525"/>
      <c r="ER5" s="525"/>
      <c r="ES5" s="525"/>
      <c r="ET5" s="525"/>
      <c r="EU5" s="525"/>
      <c r="EV5" s="525"/>
      <c r="EW5" s="525"/>
      <c r="EX5" s="525"/>
      <c r="EY5" s="525"/>
      <c r="EZ5" s="525"/>
      <c r="FA5" s="525"/>
      <c r="FB5" s="525"/>
      <c r="FC5" s="525"/>
      <c r="FD5" s="525"/>
      <c r="FE5" s="525"/>
      <c r="FF5" s="525"/>
      <c r="FG5" s="525"/>
      <c r="FH5" s="525"/>
      <c r="FI5" s="525"/>
      <c r="FJ5" s="525"/>
      <c r="FK5" s="525"/>
      <c r="FL5" s="525"/>
      <c r="FM5" s="525"/>
      <c r="FN5" s="525"/>
      <c r="FO5" s="525"/>
      <c r="FP5" s="525"/>
      <c r="FQ5" s="525"/>
      <c r="FR5" s="525"/>
      <c r="FS5" s="525"/>
      <c r="FT5" s="525"/>
      <c r="FU5" s="525"/>
      <c r="FV5" s="525"/>
      <c r="FW5" s="525"/>
      <c r="FX5" s="525"/>
      <c r="FY5" s="525"/>
      <c r="FZ5" s="525"/>
      <c r="GA5" s="525"/>
      <c r="GB5" s="525"/>
      <c r="GC5" s="525"/>
      <c r="GD5" s="525"/>
      <c r="GE5" s="525"/>
      <c r="GF5" s="525"/>
      <c r="GG5" s="525"/>
      <c r="GH5" s="525"/>
      <c r="GI5" s="525"/>
      <c r="GJ5" s="525"/>
      <c r="GK5" s="525"/>
      <c r="GL5" s="525"/>
      <c r="GM5" s="525"/>
      <c r="GN5" s="525"/>
      <c r="GO5" s="525"/>
      <c r="GP5" s="525"/>
      <c r="GQ5" s="525"/>
      <c r="GR5" s="525"/>
      <c r="GS5" s="525"/>
      <c r="GT5" s="525"/>
      <c r="GU5" s="525"/>
      <c r="GV5" s="525"/>
      <c r="GW5" s="525"/>
      <c r="GX5" s="525"/>
      <c r="GY5" s="525"/>
      <c r="GZ5" s="525"/>
      <c r="HA5" s="525"/>
      <c r="HB5" s="525"/>
      <c r="HC5" s="525"/>
      <c r="HD5" s="525"/>
      <c r="HE5" s="525"/>
      <c r="HF5" s="525"/>
      <c r="HG5" s="525"/>
      <c r="HH5" s="525"/>
      <c r="HI5" s="525"/>
      <c r="HJ5" s="525"/>
      <c r="HK5" s="525"/>
      <c r="HL5" s="525"/>
      <c r="HM5" s="525"/>
      <c r="HN5" s="525"/>
      <c r="HO5" s="525"/>
      <c r="HP5" s="525"/>
      <c r="HQ5" s="525"/>
      <c r="HR5" s="525"/>
      <c r="HS5" s="525"/>
      <c r="HT5" s="525"/>
      <c r="HU5" s="525"/>
      <c r="HV5" s="525"/>
      <c r="HW5" s="525"/>
      <c r="HX5" s="525"/>
      <c r="HY5" s="525"/>
      <c r="HZ5" s="525"/>
      <c r="IA5" s="525"/>
      <c r="IB5" s="525"/>
      <c r="IC5" s="525"/>
      <c r="ID5" s="525"/>
      <c r="IE5" s="525"/>
      <c r="IF5" s="525"/>
      <c r="IG5" s="525"/>
      <c r="IH5" s="525"/>
      <c r="II5" s="525"/>
      <c r="IJ5" s="525"/>
      <c r="IK5" s="525"/>
      <c r="IL5" s="525"/>
      <c r="IM5" s="525"/>
      <c r="IN5" s="525"/>
      <c r="IO5" s="525"/>
      <c r="IP5" s="525"/>
      <c r="IQ5" s="525"/>
      <c r="IR5" s="525"/>
      <c r="IS5" s="525"/>
      <c r="IT5" s="525"/>
      <c r="IU5" s="525"/>
      <c r="IV5" s="525"/>
      <c r="IW5" s="525"/>
      <c r="IX5" s="525"/>
      <c r="IY5" s="525"/>
      <c r="IZ5" s="525"/>
      <c r="JA5" s="525"/>
      <c r="JB5" s="525"/>
      <c r="JC5" s="525"/>
      <c r="JD5" s="525"/>
      <c r="JE5" s="525"/>
      <c r="JF5" s="525"/>
      <c r="JG5" s="525"/>
      <c r="JH5" s="525"/>
      <c r="JI5" s="525"/>
      <c r="JJ5" s="525"/>
      <c r="JK5" s="525"/>
      <c r="JL5" s="525"/>
      <c r="JM5" s="525"/>
      <c r="JN5" s="525"/>
      <c r="JO5" s="525"/>
      <c r="JP5" s="525"/>
      <c r="JQ5" s="525"/>
      <c r="JR5" s="525"/>
      <c r="JS5" s="525"/>
      <c r="JT5" s="525"/>
      <c r="JU5" s="525"/>
      <c r="JV5" s="525"/>
      <c r="JW5" s="525"/>
      <c r="JX5" s="525"/>
      <c r="JY5" s="525"/>
      <c r="JZ5" s="525"/>
      <c r="KA5" s="525"/>
      <c r="KB5" s="525"/>
      <c r="KC5" s="525"/>
      <c r="KD5" s="525"/>
      <c r="KE5" s="525"/>
      <c r="KF5" s="525"/>
      <c r="KG5" s="525"/>
      <c r="KH5" s="525"/>
      <c r="KI5" s="525"/>
      <c r="KJ5" s="525"/>
      <c r="KK5" s="525"/>
      <c r="KL5" s="525"/>
      <c r="KM5" s="525"/>
      <c r="KN5" s="525"/>
      <c r="KO5" s="525"/>
      <c r="KP5" s="525"/>
      <c r="KQ5" s="525"/>
      <c r="KR5" s="525"/>
      <c r="KS5" s="525"/>
      <c r="KT5" s="525"/>
      <c r="KU5" s="525"/>
      <c r="KV5" s="525"/>
      <c r="KW5" s="525"/>
      <c r="KX5" s="525"/>
      <c r="KY5" s="525"/>
      <c r="KZ5" s="525"/>
      <c r="LA5" s="525"/>
      <c r="LB5" s="525"/>
      <c r="LC5" s="525"/>
      <c r="LD5" s="525"/>
      <c r="LE5" s="525"/>
      <c r="LF5" s="525"/>
      <c r="LG5" s="525"/>
      <c r="LH5" s="525"/>
      <c r="LI5" s="525"/>
      <c r="LJ5" s="525"/>
      <c r="LK5" s="525"/>
      <c r="LL5" s="525"/>
      <c r="LM5" s="525"/>
      <c r="LN5" s="525"/>
      <c r="LO5" s="525"/>
      <c r="LP5" s="525"/>
      <c r="LQ5" s="525"/>
      <c r="LR5" s="525"/>
      <c r="LS5" s="525"/>
      <c r="LT5" s="525"/>
      <c r="LU5" s="525"/>
      <c r="LV5" s="525"/>
      <c r="LW5" s="525"/>
      <c r="LX5" s="525"/>
      <c r="LY5" s="525"/>
      <c r="LZ5" s="525"/>
      <c r="MA5" s="525"/>
      <c r="MB5" s="525"/>
      <c r="MC5" s="525"/>
      <c r="MD5" s="525"/>
      <c r="ME5" s="525"/>
      <c r="MF5" s="525"/>
      <c r="MG5" s="525"/>
      <c r="MH5" s="525"/>
      <c r="MI5" s="525"/>
      <c r="MJ5" s="525"/>
      <c r="MK5" s="525"/>
      <c r="ML5" s="525"/>
      <c r="MM5" s="525"/>
      <c r="MN5" s="525"/>
      <c r="MO5" s="525"/>
      <c r="MP5" s="525"/>
    </row>
    <row r="6" spans="1:354" x14ac:dyDescent="0.25">
      <c r="A6" s="525" t="s">
        <v>51</v>
      </c>
      <c r="B6" s="525">
        <f>INDEX($H$3:$JK$3,MATCH(B$12,$H$3:$JK$3,1))</f>
        <v>1999</v>
      </c>
      <c r="C6" s="525">
        <f t="shared" ref="C6:BN6" si="0">INDEX($H$3:$JK$3,MATCH(C$12,$H$3:$JK$3,1))</f>
        <v>1999</v>
      </c>
      <c r="D6" s="525">
        <f t="shared" si="0"/>
        <v>1999.083345</v>
      </c>
      <c r="E6" s="525">
        <f t="shared" si="0"/>
        <v>1999.166678</v>
      </c>
      <c r="F6" s="525">
        <f t="shared" si="0"/>
        <v>1999.166678</v>
      </c>
      <c r="G6" s="525">
        <f t="shared" si="0"/>
        <v>1999.2500110000001</v>
      </c>
      <c r="H6" s="525">
        <f t="shared" si="0"/>
        <v>1999.3333439999999</v>
      </c>
      <c r="I6" s="525">
        <f t="shared" si="0"/>
        <v>1999.4166769999999</v>
      </c>
      <c r="J6" s="525">
        <f t="shared" si="0"/>
        <v>1999.4166769999999</v>
      </c>
      <c r="K6" s="525">
        <f t="shared" si="0"/>
        <v>1999.50001</v>
      </c>
      <c r="L6" s="525">
        <f t="shared" si="0"/>
        <v>1999.583343</v>
      </c>
      <c r="M6" s="525">
        <f t="shared" si="0"/>
        <v>1999.6666760000001</v>
      </c>
      <c r="N6" s="525">
        <f t="shared" si="0"/>
        <v>1999.6666760000001</v>
      </c>
      <c r="O6" s="525">
        <f t="shared" si="0"/>
        <v>1999.7500090000001</v>
      </c>
      <c r="P6" s="525">
        <f t="shared" si="0"/>
        <v>1999.8333419999999</v>
      </c>
      <c r="Q6" s="525">
        <f t="shared" si="0"/>
        <v>1999.9166749999999</v>
      </c>
      <c r="R6" s="525">
        <f t="shared" si="0"/>
        <v>1999.9166749999999</v>
      </c>
      <c r="S6" s="525">
        <f t="shared" si="0"/>
        <v>2000.000008</v>
      </c>
      <c r="T6" s="525">
        <f t="shared" si="0"/>
        <v>2000.083341</v>
      </c>
      <c r="U6" s="525">
        <f t="shared" si="0"/>
        <v>2000.1666740000001</v>
      </c>
      <c r="V6" s="525">
        <f t="shared" si="0"/>
        <v>2000.1666740000001</v>
      </c>
      <c r="W6" s="525">
        <f t="shared" si="0"/>
        <v>2000.2500070000001</v>
      </c>
      <c r="X6" s="525">
        <f t="shared" si="0"/>
        <v>2000.3333399999999</v>
      </c>
      <c r="Y6" s="525">
        <f t="shared" si="0"/>
        <v>2000.4166729999999</v>
      </c>
      <c r="Z6" s="525">
        <f t="shared" si="0"/>
        <v>2000.4166729999999</v>
      </c>
      <c r="AA6" s="525">
        <f t="shared" si="0"/>
        <v>2000.500006</v>
      </c>
      <c r="AB6" s="525">
        <f t="shared" si="0"/>
        <v>2000.583339</v>
      </c>
      <c r="AC6" s="525">
        <f t="shared" si="0"/>
        <v>2000.6666720000001</v>
      </c>
      <c r="AD6" s="525">
        <f t="shared" si="0"/>
        <v>2000.6666720000001</v>
      </c>
      <c r="AE6" s="525">
        <f t="shared" si="0"/>
        <v>2000.7500050000001</v>
      </c>
      <c r="AF6" s="525">
        <f t="shared" si="0"/>
        <v>2000.8333379999999</v>
      </c>
      <c r="AG6" s="525">
        <f t="shared" si="0"/>
        <v>2000.916671</v>
      </c>
      <c r="AH6" s="525">
        <f t="shared" si="0"/>
        <v>2000.916671</v>
      </c>
      <c r="AI6" s="525">
        <f t="shared" si="0"/>
        <v>2001.000004</v>
      </c>
      <c r="AJ6" s="525">
        <f t="shared" si="0"/>
        <v>2001.083337</v>
      </c>
      <c r="AK6" s="525">
        <f t="shared" si="0"/>
        <v>2001.1666700000001</v>
      </c>
      <c r="AL6" s="525">
        <f t="shared" si="0"/>
        <v>2001.1666700000001</v>
      </c>
      <c r="AM6" s="525">
        <f t="shared" si="0"/>
        <v>2001.2500030000001</v>
      </c>
      <c r="AN6" s="525">
        <f t="shared" si="0"/>
        <v>2001.3333359999999</v>
      </c>
      <c r="AO6" s="525">
        <f t="shared" si="0"/>
        <v>2001.416669</v>
      </c>
      <c r="AP6" s="525">
        <f t="shared" si="0"/>
        <v>2001.416669</v>
      </c>
      <c r="AQ6" s="525">
        <f t="shared" si="0"/>
        <v>2001.500002</v>
      </c>
      <c r="AR6" s="525">
        <f t="shared" si="0"/>
        <v>2001.583335</v>
      </c>
      <c r="AS6" s="525">
        <f t="shared" si="0"/>
        <v>2001.6666680000001</v>
      </c>
      <c r="AT6" s="525">
        <f t="shared" si="0"/>
        <v>2001.6666680000001</v>
      </c>
      <c r="AU6" s="525">
        <f t="shared" si="0"/>
        <v>2001.7500010000001</v>
      </c>
      <c r="AV6" s="525">
        <f t="shared" si="0"/>
        <v>2001.8333339999999</v>
      </c>
      <c r="AW6" s="525">
        <f t="shared" si="0"/>
        <v>2001.916667</v>
      </c>
      <c r="AX6" s="525">
        <f t="shared" si="0"/>
        <v>2002</v>
      </c>
      <c r="AY6" s="525">
        <f t="shared" si="0"/>
        <v>2002</v>
      </c>
      <c r="AZ6" s="525">
        <f t="shared" si="0"/>
        <v>2002.083333</v>
      </c>
      <c r="BA6" s="525">
        <f t="shared" si="0"/>
        <v>2002.1666660000001</v>
      </c>
      <c r="BB6" s="525">
        <f t="shared" si="0"/>
        <v>2002.2499989999999</v>
      </c>
      <c r="BC6" s="525">
        <f t="shared" si="0"/>
        <v>2002.2499989999999</v>
      </c>
      <c r="BD6" s="525">
        <f t="shared" si="0"/>
        <v>2002.3333319999999</v>
      </c>
      <c r="BE6" s="525">
        <f t="shared" si="0"/>
        <v>2002.416665</v>
      </c>
      <c r="BF6" s="525">
        <f t="shared" si="0"/>
        <v>2002.499998</v>
      </c>
      <c r="BG6" s="525">
        <f t="shared" si="0"/>
        <v>2002.499998</v>
      </c>
      <c r="BH6" s="525">
        <f t="shared" si="0"/>
        <v>2002.583331</v>
      </c>
      <c r="BI6" s="525">
        <f t="shared" si="0"/>
        <v>2002.6666640000001</v>
      </c>
      <c r="BJ6" s="525">
        <f t="shared" si="0"/>
        <v>2002.7499969999999</v>
      </c>
      <c r="BK6" s="525">
        <f t="shared" si="0"/>
        <v>2002.7499969999999</v>
      </c>
      <c r="BL6" s="525">
        <f t="shared" si="0"/>
        <v>2002.8333299999999</v>
      </c>
      <c r="BM6" s="525">
        <f t="shared" si="0"/>
        <v>2002.916663</v>
      </c>
      <c r="BN6" s="525">
        <f t="shared" si="0"/>
        <v>2002.999996</v>
      </c>
      <c r="BO6" s="525">
        <f t="shared" ref="BO6:DZ6" si="1">INDEX($H$3:$JK$3,MATCH(BO$12,$H$3:$JK$3,1))</f>
        <v>2002.999996</v>
      </c>
      <c r="BP6" s="525">
        <f t="shared" si="1"/>
        <v>2003.083329</v>
      </c>
      <c r="BQ6" s="525">
        <f t="shared" si="1"/>
        <v>2003.1666620000001</v>
      </c>
      <c r="BR6" s="525">
        <f t="shared" si="1"/>
        <v>2003.2499949999999</v>
      </c>
      <c r="BS6" s="525">
        <f t="shared" si="1"/>
        <v>2003.2499949999999</v>
      </c>
      <c r="BT6" s="525">
        <f t="shared" si="1"/>
        <v>2003.3333279999999</v>
      </c>
      <c r="BU6" s="525">
        <f t="shared" si="1"/>
        <v>2003.416661</v>
      </c>
      <c r="BV6" s="525">
        <f t="shared" si="1"/>
        <v>2003.499994</v>
      </c>
      <c r="BW6" s="525">
        <f t="shared" si="1"/>
        <v>2003.499994</v>
      </c>
      <c r="BX6" s="525">
        <f t="shared" si="1"/>
        <v>2003.5833270000001</v>
      </c>
      <c r="BY6" s="525">
        <f t="shared" si="1"/>
        <v>2003.6666600000001</v>
      </c>
      <c r="BZ6" s="525">
        <f t="shared" si="1"/>
        <v>2003.7499929999999</v>
      </c>
      <c r="CA6" s="525">
        <f t="shared" si="1"/>
        <v>2003.7499929999999</v>
      </c>
      <c r="CB6" s="525">
        <f t="shared" si="1"/>
        <v>2003.8333259999999</v>
      </c>
      <c r="CC6" s="525">
        <f t="shared" si="1"/>
        <v>2003.916659</v>
      </c>
      <c r="CD6" s="525">
        <f t="shared" si="1"/>
        <v>2003.999992</v>
      </c>
      <c r="CE6" s="525">
        <f t="shared" si="1"/>
        <v>2003.999992</v>
      </c>
      <c r="CF6" s="525">
        <f t="shared" si="1"/>
        <v>2004.0833250000001</v>
      </c>
      <c r="CG6" s="525">
        <f t="shared" si="1"/>
        <v>2004.1666580000001</v>
      </c>
      <c r="CH6" s="525">
        <f t="shared" si="1"/>
        <v>2004.2499909999999</v>
      </c>
      <c r="CI6" s="525">
        <f t="shared" si="1"/>
        <v>2004.2499909999999</v>
      </c>
      <c r="CJ6" s="525">
        <f t="shared" si="1"/>
        <v>2004.3333239999999</v>
      </c>
      <c r="CK6" s="525">
        <f t="shared" si="1"/>
        <v>2004.416657</v>
      </c>
      <c r="CL6" s="525">
        <f t="shared" si="1"/>
        <v>2004.49999</v>
      </c>
      <c r="CM6" s="525">
        <f t="shared" si="1"/>
        <v>2004.49999</v>
      </c>
      <c r="CN6" s="525">
        <f t="shared" si="1"/>
        <v>2004.5833230000001</v>
      </c>
      <c r="CO6" s="525">
        <f t="shared" si="1"/>
        <v>2004.6666560000001</v>
      </c>
      <c r="CP6" s="525">
        <f t="shared" si="1"/>
        <v>2004.7499889999999</v>
      </c>
      <c r="CQ6" s="525">
        <f t="shared" si="1"/>
        <v>2004.7499889999999</v>
      </c>
      <c r="CR6" s="525">
        <f t="shared" si="1"/>
        <v>2004.833322</v>
      </c>
      <c r="CS6" s="525">
        <f t="shared" si="1"/>
        <v>2004.916655</v>
      </c>
      <c r="CT6" s="525">
        <f t="shared" si="1"/>
        <v>2004.999988</v>
      </c>
      <c r="CU6" s="525">
        <f t="shared" si="1"/>
        <v>2004.999988</v>
      </c>
      <c r="CV6" s="525">
        <f t="shared" si="1"/>
        <v>2005.0833210000001</v>
      </c>
      <c r="CW6" s="525">
        <f t="shared" si="1"/>
        <v>2005.1666540000001</v>
      </c>
      <c r="CX6" s="525">
        <f t="shared" si="1"/>
        <v>2005.2499869999999</v>
      </c>
      <c r="CY6" s="525">
        <f t="shared" si="1"/>
        <v>2005.2499869999999</v>
      </c>
      <c r="CZ6" s="525">
        <f t="shared" si="1"/>
        <v>2005.33332</v>
      </c>
      <c r="DA6" s="525">
        <f t="shared" si="1"/>
        <v>2005.416653</v>
      </c>
      <c r="DB6" s="525">
        <f t="shared" si="1"/>
        <v>2005.499986</v>
      </c>
      <c r="DC6" s="525">
        <f t="shared" si="1"/>
        <v>2005.499986</v>
      </c>
      <c r="DD6" s="525">
        <f t="shared" si="1"/>
        <v>2005.5833190000001</v>
      </c>
      <c r="DE6" s="525">
        <f t="shared" si="1"/>
        <v>2005.6666520000001</v>
      </c>
      <c r="DF6" s="525">
        <f t="shared" si="1"/>
        <v>2005.7499849999999</v>
      </c>
      <c r="DG6" s="525">
        <f t="shared" si="1"/>
        <v>2005.7499849999999</v>
      </c>
      <c r="DH6" s="525">
        <f t="shared" si="1"/>
        <v>2005.833318</v>
      </c>
      <c r="DI6" s="525">
        <f t="shared" si="1"/>
        <v>2005.916651</v>
      </c>
      <c r="DJ6" s="525">
        <f t="shared" si="1"/>
        <v>2005.999984</v>
      </c>
      <c r="DK6" s="525">
        <f t="shared" si="1"/>
        <v>2005.999984</v>
      </c>
      <c r="DL6" s="525">
        <f t="shared" si="1"/>
        <v>2006.0833170000001</v>
      </c>
      <c r="DM6" s="525">
        <f t="shared" si="1"/>
        <v>2006.1666499999999</v>
      </c>
      <c r="DN6" s="525">
        <f t="shared" si="1"/>
        <v>2006.2499829999999</v>
      </c>
      <c r="DO6" s="525">
        <f t="shared" si="1"/>
        <v>2006.2499829999999</v>
      </c>
      <c r="DP6" s="525">
        <f t="shared" si="1"/>
        <v>2006.333316</v>
      </c>
      <c r="DQ6" s="525">
        <f t="shared" si="1"/>
        <v>2006.416649</v>
      </c>
      <c r="DR6" s="525">
        <f t="shared" si="1"/>
        <v>2006.499982</v>
      </c>
      <c r="DS6" s="525">
        <f t="shared" si="1"/>
        <v>2006.499982</v>
      </c>
      <c r="DT6" s="525">
        <f t="shared" si="1"/>
        <v>2006.5833150000001</v>
      </c>
      <c r="DU6" s="525">
        <f t="shared" si="1"/>
        <v>2006.6666479999999</v>
      </c>
      <c r="DV6" s="525">
        <f t="shared" si="1"/>
        <v>2006.7499809999999</v>
      </c>
      <c r="DW6" s="525">
        <f t="shared" si="1"/>
        <v>2006.7499809999999</v>
      </c>
      <c r="DX6" s="525">
        <f t="shared" si="1"/>
        <v>2006.833314</v>
      </c>
      <c r="DY6" s="525">
        <f t="shared" si="1"/>
        <v>2006.916647</v>
      </c>
      <c r="DZ6" s="525">
        <f t="shared" si="1"/>
        <v>2006.9999800000001</v>
      </c>
      <c r="EA6" s="525">
        <f t="shared" ref="EA6:GL6" si="2">INDEX($H$3:$JK$3,MATCH(EA$12,$H$3:$JK$3,1))</f>
        <v>2006.9999800000001</v>
      </c>
      <c r="EB6" s="525">
        <f t="shared" si="2"/>
        <v>2007.0833130000001</v>
      </c>
      <c r="EC6" s="525">
        <f t="shared" si="2"/>
        <v>2007.1666459999999</v>
      </c>
      <c r="ED6" s="525">
        <f t="shared" si="2"/>
        <v>2007.2499789999999</v>
      </c>
      <c r="EE6" s="525">
        <f t="shared" si="2"/>
        <v>2007.2499789999999</v>
      </c>
      <c r="EF6" s="525">
        <f t="shared" si="2"/>
        <v>2007.333312</v>
      </c>
      <c r="EG6" s="525">
        <f t="shared" si="2"/>
        <v>2007.416645</v>
      </c>
      <c r="EH6" s="525">
        <f t="shared" si="2"/>
        <v>2007.4999780000001</v>
      </c>
      <c r="EI6" s="525">
        <f t="shared" si="2"/>
        <v>2007.4999780000001</v>
      </c>
      <c r="EJ6" s="525">
        <f t="shared" si="2"/>
        <v>2007.5833110000001</v>
      </c>
      <c r="EK6" s="525">
        <f t="shared" si="2"/>
        <v>2007.6666439999999</v>
      </c>
      <c r="EL6" s="525">
        <f t="shared" si="2"/>
        <v>2007.7499769999999</v>
      </c>
      <c r="EM6" s="525">
        <f t="shared" si="2"/>
        <v>2007.7499769999999</v>
      </c>
      <c r="EN6" s="525">
        <f t="shared" si="2"/>
        <v>2007.83331</v>
      </c>
      <c r="EO6" s="525">
        <f t="shared" si="2"/>
        <v>2007.916643</v>
      </c>
      <c r="EP6" s="525">
        <f t="shared" si="2"/>
        <v>2007.9999760000001</v>
      </c>
      <c r="EQ6" s="525">
        <f t="shared" si="2"/>
        <v>2007.9999760000001</v>
      </c>
      <c r="ER6" s="525">
        <f t="shared" si="2"/>
        <v>2008.0833090000001</v>
      </c>
      <c r="ES6" s="525">
        <f t="shared" si="2"/>
        <v>2008.1666419999999</v>
      </c>
      <c r="ET6" s="525">
        <f t="shared" si="2"/>
        <v>2008.2499749999999</v>
      </c>
      <c r="EU6" s="525">
        <f t="shared" si="2"/>
        <v>2008.2499749999999</v>
      </c>
      <c r="EV6" s="525">
        <f t="shared" si="2"/>
        <v>2008.333308</v>
      </c>
      <c r="EW6" s="525">
        <f t="shared" si="2"/>
        <v>2008.416641</v>
      </c>
      <c r="EX6" s="525">
        <f t="shared" si="2"/>
        <v>2008.4999740000001</v>
      </c>
      <c r="EY6" s="525">
        <f t="shared" si="2"/>
        <v>2008.4999740000001</v>
      </c>
      <c r="EZ6" s="525">
        <f t="shared" si="2"/>
        <v>2008.5833070000001</v>
      </c>
      <c r="FA6" s="525">
        <f t="shared" si="2"/>
        <v>2008.6666399999999</v>
      </c>
      <c r="FB6" s="525">
        <f t="shared" si="2"/>
        <v>2008.749973</v>
      </c>
      <c r="FC6" s="525">
        <f t="shared" si="2"/>
        <v>2008.749973</v>
      </c>
      <c r="FD6" s="525">
        <f t="shared" si="2"/>
        <v>2008.833306</v>
      </c>
      <c r="FE6" s="525">
        <f t="shared" si="2"/>
        <v>2008.916639</v>
      </c>
      <c r="FF6" s="525">
        <f t="shared" si="2"/>
        <v>2008.9999720000001</v>
      </c>
      <c r="FG6" s="525">
        <f t="shared" si="2"/>
        <v>2008.9999720000001</v>
      </c>
      <c r="FH6" s="525">
        <f t="shared" si="2"/>
        <v>2009.0833050000001</v>
      </c>
      <c r="FI6" s="525">
        <f t="shared" si="2"/>
        <v>2009.1666379999999</v>
      </c>
      <c r="FJ6" s="525">
        <f t="shared" si="2"/>
        <v>2009.249971</v>
      </c>
      <c r="FK6" s="525">
        <f t="shared" si="2"/>
        <v>2009.249971</v>
      </c>
      <c r="FL6" s="525">
        <f t="shared" si="2"/>
        <v>2009.333304</v>
      </c>
      <c r="FM6" s="525">
        <f t="shared" si="2"/>
        <v>2009.416637</v>
      </c>
      <c r="FN6" s="525">
        <f t="shared" si="2"/>
        <v>2009.4999700000001</v>
      </c>
      <c r="FO6" s="525">
        <f t="shared" si="2"/>
        <v>2009.4999700000001</v>
      </c>
      <c r="FP6" s="525">
        <f t="shared" si="2"/>
        <v>2009.5833029999999</v>
      </c>
      <c r="FQ6" s="525">
        <f t="shared" si="2"/>
        <v>2009.6666359999999</v>
      </c>
      <c r="FR6" s="525">
        <f t="shared" si="2"/>
        <v>2009.749969</v>
      </c>
      <c r="FS6" s="525">
        <f t="shared" si="2"/>
        <v>2009.749969</v>
      </c>
      <c r="FT6" s="525">
        <f t="shared" si="2"/>
        <v>2009.833302</v>
      </c>
      <c r="FU6" s="525">
        <f t="shared" si="2"/>
        <v>2009.916635</v>
      </c>
      <c r="FV6" s="525">
        <f t="shared" si="2"/>
        <v>2009.9999680000001</v>
      </c>
      <c r="FW6" s="525">
        <f t="shared" si="2"/>
        <v>2009.9999680000001</v>
      </c>
      <c r="FX6" s="525">
        <f t="shared" si="2"/>
        <v>2010.0833009999999</v>
      </c>
      <c r="FY6" s="525">
        <f t="shared" si="2"/>
        <v>2010.1666339999999</v>
      </c>
      <c r="FZ6" s="525">
        <f t="shared" si="2"/>
        <v>2010.249967</v>
      </c>
      <c r="GA6" s="525">
        <f t="shared" si="2"/>
        <v>2010.249967</v>
      </c>
      <c r="GB6" s="525">
        <f t="shared" si="2"/>
        <v>2010.3333</v>
      </c>
      <c r="GC6" s="525">
        <f t="shared" si="2"/>
        <v>2010.416633</v>
      </c>
      <c r="GD6" s="525">
        <f t="shared" si="2"/>
        <v>2010.4999660000001</v>
      </c>
      <c r="GE6" s="525">
        <f t="shared" si="2"/>
        <v>2010.4999660000001</v>
      </c>
      <c r="GF6" s="525">
        <f t="shared" si="2"/>
        <v>2010.5832989999999</v>
      </c>
      <c r="GG6" s="525">
        <f t="shared" si="2"/>
        <v>2010.6666319999999</v>
      </c>
      <c r="GH6" s="525">
        <f t="shared" si="2"/>
        <v>2010.749965</v>
      </c>
      <c r="GI6" s="525">
        <f t="shared" si="2"/>
        <v>2010.749965</v>
      </c>
      <c r="GJ6" s="525">
        <f t="shared" si="2"/>
        <v>2010.833298</v>
      </c>
      <c r="GK6" s="525">
        <f t="shared" si="2"/>
        <v>2010.9166310000001</v>
      </c>
      <c r="GL6" s="525">
        <f t="shared" si="2"/>
        <v>2010.9999640000001</v>
      </c>
      <c r="GM6" s="525">
        <f t="shared" ref="GM6:IX6" si="3">INDEX($H$3:$JK$3,MATCH(GM$12,$H$3:$JK$3,1))</f>
        <v>2010.9999640000001</v>
      </c>
      <c r="GN6" s="525">
        <f t="shared" si="3"/>
        <v>2011.0832969999999</v>
      </c>
      <c r="GO6" s="525">
        <f t="shared" si="3"/>
        <v>2011.1666299999999</v>
      </c>
      <c r="GP6" s="525">
        <f t="shared" si="3"/>
        <v>2011.249963</v>
      </c>
      <c r="GQ6" s="525">
        <f t="shared" si="3"/>
        <v>2011.249963</v>
      </c>
      <c r="GR6" s="525">
        <f t="shared" si="3"/>
        <v>2011.333296</v>
      </c>
      <c r="GS6" s="525">
        <f t="shared" si="3"/>
        <v>2011.4166290000001</v>
      </c>
      <c r="GT6" s="525">
        <f t="shared" si="3"/>
        <v>2011.4999620000001</v>
      </c>
      <c r="GU6" s="525">
        <f t="shared" si="3"/>
        <v>2011.4999620000001</v>
      </c>
      <c r="GV6" s="525">
        <f t="shared" si="3"/>
        <v>2011.5832949999999</v>
      </c>
      <c r="GW6" s="525">
        <f t="shared" si="3"/>
        <v>2011.6666279999999</v>
      </c>
      <c r="GX6" s="525">
        <f t="shared" si="3"/>
        <v>2011.749961</v>
      </c>
      <c r="GY6" s="525">
        <f t="shared" si="3"/>
        <v>2011.749961</v>
      </c>
      <c r="GZ6" s="525">
        <f t="shared" si="3"/>
        <v>2011.833294</v>
      </c>
      <c r="HA6" s="525">
        <f t="shared" si="3"/>
        <v>2011.9166270000001</v>
      </c>
      <c r="HB6" s="525">
        <f t="shared" si="3"/>
        <v>2011.9999600000001</v>
      </c>
      <c r="HC6" s="525">
        <f t="shared" si="3"/>
        <v>2011.9999600000001</v>
      </c>
      <c r="HD6" s="525">
        <f t="shared" si="3"/>
        <v>2012.0832929999999</v>
      </c>
      <c r="HE6" s="525">
        <f t="shared" si="3"/>
        <v>2012.166626</v>
      </c>
      <c r="HF6" s="525">
        <f t="shared" si="3"/>
        <v>2012.249959</v>
      </c>
      <c r="HG6" s="525">
        <f t="shared" si="3"/>
        <v>2012.249959</v>
      </c>
      <c r="HH6" s="525">
        <f t="shared" si="3"/>
        <v>2012.333292</v>
      </c>
      <c r="HI6" s="525">
        <f t="shared" si="3"/>
        <v>2012.4166250000001</v>
      </c>
      <c r="HJ6" s="525">
        <f t="shared" si="3"/>
        <v>2012.4999580000001</v>
      </c>
      <c r="HK6" s="525">
        <f t="shared" si="3"/>
        <v>2012.4999580000001</v>
      </c>
      <c r="HL6" s="525">
        <f t="shared" si="3"/>
        <v>2012.5832909999999</v>
      </c>
      <c r="HM6" s="525">
        <f t="shared" si="3"/>
        <v>2012.666624</v>
      </c>
      <c r="HN6" s="525">
        <f t="shared" si="3"/>
        <v>2012.749957</v>
      </c>
      <c r="HO6" s="525">
        <f t="shared" si="3"/>
        <v>2012.749957</v>
      </c>
      <c r="HP6" s="525">
        <f t="shared" si="3"/>
        <v>2012.83329</v>
      </c>
      <c r="HQ6" s="525">
        <f t="shared" si="3"/>
        <v>2012.9166230000001</v>
      </c>
      <c r="HR6" s="525">
        <f t="shared" si="3"/>
        <v>2012.9999560000001</v>
      </c>
      <c r="HS6" s="525">
        <f t="shared" si="3"/>
        <v>2012.9999560000001</v>
      </c>
      <c r="HT6" s="525">
        <f t="shared" si="3"/>
        <v>2013.0832889999999</v>
      </c>
      <c r="HU6" s="525">
        <f t="shared" si="3"/>
        <v>2013.166622</v>
      </c>
      <c r="HV6" s="525">
        <f t="shared" si="3"/>
        <v>2013.249955</v>
      </c>
      <c r="HW6" s="525">
        <f t="shared" si="3"/>
        <v>2013.249955</v>
      </c>
      <c r="HX6" s="525">
        <f t="shared" si="3"/>
        <v>2013.333288</v>
      </c>
      <c r="HY6" s="525">
        <f t="shared" si="3"/>
        <v>2013.4166210000001</v>
      </c>
      <c r="HZ6" s="525">
        <f t="shared" si="3"/>
        <v>2013.4999539999999</v>
      </c>
      <c r="IA6" s="525">
        <f t="shared" si="3"/>
        <v>2013.4999539999999</v>
      </c>
      <c r="IB6" s="525">
        <f t="shared" si="3"/>
        <v>2013.5832869999999</v>
      </c>
      <c r="IC6" s="525">
        <f t="shared" si="3"/>
        <v>2013.66662</v>
      </c>
      <c r="ID6" s="525">
        <f t="shared" si="3"/>
        <v>2013.749953</v>
      </c>
      <c r="IE6" s="525">
        <f t="shared" si="3"/>
        <v>2013.749953</v>
      </c>
      <c r="IF6" s="525">
        <f t="shared" si="3"/>
        <v>2013.833286</v>
      </c>
      <c r="IG6" s="525">
        <f t="shared" si="3"/>
        <v>2013.9166190000001</v>
      </c>
      <c r="IH6" s="525">
        <f t="shared" si="3"/>
        <v>2013.9999519999999</v>
      </c>
      <c r="II6" s="525">
        <f t="shared" si="3"/>
        <v>2013.9999519999999</v>
      </c>
      <c r="IJ6" s="525">
        <f t="shared" si="3"/>
        <v>2014.0832849999999</v>
      </c>
      <c r="IK6" s="525">
        <f t="shared" si="3"/>
        <v>2014.166618</v>
      </c>
      <c r="IL6" s="525">
        <f t="shared" si="3"/>
        <v>2014.249951</v>
      </c>
      <c r="IM6" s="525">
        <f t="shared" si="3"/>
        <v>2014.249951</v>
      </c>
      <c r="IN6" s="525">
        <f t="shared" si="3"/>
        <v>2014.333284</v>
      </c>
      <c r="IO6" s="525">
        <f t="shared" si="3"/>
        <v>2014.4166170000001</v>
      </c>
      <c r="IP6" s="525">
        <f t="shared" si="3"/>
        <v>2014.4999499999999</v>
      </c>
      <c r="IQ6" s="525">
        <f t="shared" si="3"/>
        <v>2014.4999499999999</v>
      </c>
      <c r="IR6" s="525">
        <f t="shared" si="3"/>
        <v>2014.5832829999999</v>
      </c>
      <c r="IS6" s="525">
        <f t="shared" si="3"/>
        <v>2014.666616</v>
      </c>
      <c r="IT6" s="525">
        <f t="shared" si="3"/>
        <v>2014.74994900001</v>
      </c>
      <c r="IU6" s="525">
        <f t="shared" si="3"/>
        <v>2014.74994900001</v>
      </c>
      <c r="IV6" s="525">
        <f t="shared" si="3"/>
        <v>2014.8332820000101</v>
      </c>
      <c r="IW6" s="525">
        <f t="shared" si="3"/>
        <v>2014.9166150000101</v>
      </c>
      <c r="IX6" s="525">
        <f t="shared" si="3"/>
        <v>2014.9999480000099</v>
      </c>
      <c r="IY6" s="525">
        <f t="shared" ref="IY6:LJ6" si="4">INDEX($H$3:$JK$3,MATCH(IY$12,$H$3:$JK$3,1))</f>
        <v>2014.9999480000099</v>
      </c>
      <c r="IZ6" s="525">
        <f t="shared" si="4"/>
        <v>2015.0832810000099</v>
      </c>
      <c r="JA6" s="525">
        <f t="shared" si="4"/>
        <v>2015.16661400001</v>
      </c>
      <c r="JB6" s="525">
        <f t="shared" si="4"/>
        <v>2015.24994700001</v>
      </c>
      <c r="JC6" s="525">
        <f t="shared" si="4"/>
        <v>2015.24994700001</v>
      </c>
      <c r="JD6" s="525">
        <f t="shared" si="4"/>
        <v>2015.3332800000101</v>
      </c>
      <c r="JE6" s="525">
        <f t="shared" si="4"/>
        <v>2015.4166130000101</v>
      </c>
      <c r="JF6" s="525">
        <f t="shared" si="4"/>
        <v>2015.4999460000099</v>
      </c>
      <c r="JG6" s="525">
        <f t="shared" si="4"/>
        <v>2015.4999460000099</v>
      </c>
      <c r="JH6" s="525">
        <f t="shared" si="4"/>
        <v>2015.58327900001</v>
      </c>
      <c r="JI6" s="525">
        <f t="shared" si="4"/>
        <v>2015.66661200001</v>
      </c>
      <c r="JJ6" s="525">
        <f t="shared" si="4"/>
        <v>2015.74994500001</v>
      </c>
      <c r="JK6" s="525">
        <f t="shared" si="4"/>
        <v>2015.74994500001</v>
      </c>
      <c r="JL6" s="525">
        <f t="shared" si="4"/>
        <v>2015.8332780000101</v>
      </c>
      <c r="JM6" s="525">
        <f t="shared" si="4"/>
        <v>2015.9166110000101</v>
      </c>
      <c r="JN6" s="525">
        <f t="shared" si="4"/>
        <v>2015.9999440000099</v>
      </c>
      <c r="JO6" s="525">
        <f t="shared" si="4"/>
        <v>2015.9999440000099</v>
      </c>
      <c r="JP6" s="525">
        <f t="shared" si="4"/>
        <v>2016.08327700001</v>
      </c>
      <c r="JQ6" s="525">
        <f t="shared" si="4"/>
        <v>2016.16661000001</v>
      </c>
      <c r="JR6" s="525">
        <f t="shared" si="4"/>
        <v>2016.24994300001</v>
      </c>
      <c r="JS6" s="525">
        <f t="shared" si="4"/>
        <v>2016.24994300001</v>
      </c>
      <c r="JT6" s="525">
        <f t="shared" si="4"/>
        <v>2016.3332760000101</v>
      </c>
      <c r="JU6" s="525">
        <f t="shared" si="4"/>
        <v>2016.4166090000101</v>
      </c>
      <c r="JV6" s="525">
        <f t="shared" si="4"/>
        <v>2016.4999420000099</v>
      </c>
      <c r="JW6" s="525">
        <f t="shared" si="4"/>
        <v>2016.4999420000099</v>
      </c>
      <c r="JX6" s="525">
        <f t="shared" si="4"/>
        <v>2016.58327500001</v>
      </c>
      <c r="JY6" s="525">
        <f t="shared" si="4"/>
        <v>2016.66660800001</v>
      </c>
      <c r="JZ6" s="525">
        <f t="shared" si="4"/>
        <v>2016.74994100001</v>
      </c>
      <c r="KA6" s="525">
        <f t="shared" si="4"/>
        <v>2016.74994100001</v>
      </c>
      <c r="KB6" s="525">
        <f t="shared" si="4"/>
        <v>2016.8332740000101</v>
      </c>
      <c r="KC6" s="525">
        <f t="shared" si="4"/>
        <v>2016.9166070000099</v>
      </c>
      <c r="KD6" s="525">
        <f t="shared" si="4"/>
        <v>2016.9999400000099</v>
      </c>
      <c r="KE6" s="525">
        <f t="shared" si="4"/>
        <v>2016.9999400000099</v>
      </c>
      <c r="KF6" s="525">
        <f t="shared" si="4"/>
        <v>2017.08327300001</v>
      </c>
      <c r="KG6" s="525">
        <f t="shared" si="4"/>
        <v>2017.16660600001</v>
      </c>
      <c r="KH6" s="525">
        <f t="shared" si="4"/>
        <v>2017.24993900001</v>
      </c>
      <c r="KI6" s="525">
        <f t="shared" si="4"/>
        <v>2017.24993900001</v>
      </c>
      <c r="KJ6" s="525">
        <f t="shared" si="4"/>
        <v>2017.3332720000101</v>
      </c>
      <c r="KK6" s="525">
        <f t="shared" si="4"/>
        <v>2017.4166050000099</v>
      </c>
      <c r="KL6" s="525">
        <f t="shared" si="4"/>
        <v>2017.4999380000099</v>
      </c>
      <c r="KM6" s="525">
        <f t="shared" si="4"/>
        <v>2017.4999380000099</v>
      </c>
      <c r="KN6" s="525">
        <f t="shared" si="4"/>
        <v>2017.58327100001</v>
      </c>
      <c r="KO6" s="525">
        <f t="shared" si="4"/>
        <v>2017.66660400001</v>
      </c>
      <c r="KP6" s="525">
        <f t="shared" si="4"/>
        <v>2017.74993700001</v>
      </c>
      <c r="KQ6" s="525">
        <f t="shared" si="4"/>
        <v>2017.74993700001</v>
      </c>
      <c r="KR6" s="525">
        <f t="shared" si="4"/>
        <v>2017.8332700000101</v>
      </c>
      <c r="KS6" s="525">
        <f t="shared" si="4"/>
        <v>2017.9166030000099</v>
      </c>
      <c r="KT6" s="525">
        <f t="shared" si="4"/>
        <v>2017.9999360000099</v>
      </c>
      <c r="KU6" s="525">
        <f t="shared" si="4"/>
        <v>2017.9999360000099</v>
      </c>
      <c r="KV6" s="525">
        <f t="shared" si="4"/>
        <v>2018.08326900001</v>
      </c>
      <c r="KW6" s="525">
        <f t="shared" si="4"/>
        <v>2018.16660200001</v>
      </c>
      <c r="KX6" s="525">
        <f t="shared" si="4"/>
        <v>2018.2499350000101</v>
      </c>
      <c r="KY6" s="525">
        <f t="shared" si="4"/>
        <v>2018.2499350000101</v>
      </c>
      <c r="KZ6" s="525">
        <f t="shared" si="4"/>
        <v>2018.3332680000101</v>
      </c>
      <c r="LA6" s="525">
        <f t="shared" si="4"/>
        <v>2018.4166010000099</v>
      </c>
      <c r="LB6" s="525">
        <f t="shared" si="4"/>
        <v>2018.4999340000099</v>
      </c>
      <c r="LC6" s="525">
        <f t="shared" si="4"/>
        <v>2018.4999340000099</v>
      </c>
      <c r="LD6" s="525">
        <f t="shared" si="4"/>
        <v>2018.58326700001</v>
      </c>
      <c r="LE6" s="525">
        <f t="shared" si="4"/>
        <v>2018.66660000001</v>
      </c>
      <c r="LF6" s="525">
        <f t="shared" si="4"/>
        <v>2018.7499330000101</v>
      </c>
      <c r="LG6" s="525">
        <f t="shared" si="4"/>
        <v>2018.7499330000101</v>
      </c>
      <c r="LH6" s="525">
        <f t="shared" si="4"/>
        <v>2018.8332660000101</v>
      </c>
      <c r="LI6" s="525">
        <f t="shared" si="4"/>
        <v>2018.9165990000099</v>
      </c>
      <c r="LJ6" s="525">
        <f t="shared" si="4"/>
        <v>2018.9999320000099</v>
      </c>
      <c r="LK6" s="525">
        <f t="shared" ref="LK6:MP6" si="5">INDEX($H$3:$JK$3,MATCH(LK$12,$H$3:$JK$3,1))</f>
        <v>2018.9999320000099</v>
      </c>
      <c r="LL6" s="525">
        <f t="shared" si="5"/>
        <v>2019.08326500001</v>
      </c>
      <c r="LM6" s="525">
        <f t="shared" si="5"/>
        <v>2019.16659800001</v>
      </c>
      <c r="LN6" s="525">
        <f t="shared" si="5"/>
        <v>2019.2499310000101</v>
      </c>
      <c r="LO6" s="525">
        <f t="shared" si="5"/>
        <v>2019.2499310000101</v>
      </c>
      <c r="LP6" s="525">
        <f t="shared" si="5"/>
        <v>2019.3332640000101</v>
      </c>
      <c r="LQ6" s="525">
        <f t="shared" si="5"/>
        <v>2019.4165970000099</v>
      </c>
      <c r="LR6" s="525">
        <f t="shared" si="5"/>
        <v>2019.49993000001</v>
      </c>
      <c r="LS6" s="525">
        <f t="shared" si="5"/>
        <v>2019.49993000001</v>
      </c>
      <c r="LT6" s="525">
        <f t="shared" si="5"/>
        <v>2019.58326300001</v>
      </c>
      <c r="LU6" s="525">
        <f t="shared" si="5"/>
        <v>2019.66659600001</v>
      </c>
      <c r="LV6" s="525">
        <f t="shared" si="5"/>
        <v>2019.7499290000101</v>
      </c>
      <c r="LW6" s="525">
        <f t="shared" si="5"/>
        <v>2019.7499290000101</v>
      </c>
      <c r="LX6" s="525">
        <f t="shared" si="5"/>
        <v>2019.8332620000101</v>
      </c>
      <c r="LY6" s="525">
        <f t="shared" si="5"/>
        <v>2019.9165950000099</v>
      </c>
      <c r="LZ6" s="525">
        <f t="shared" si="5"/>
        <v>2019.99992800001</v>
      </c>
      <c r="MA6" s="525">
        <f t="shared" si="5"/>
        <v>2019.99992800001</v>
      </c>
      <c r="MB6" s="525">
        <f t="shared" si="5"/>
        <v>2020.08326100001</v>
      </c>
      <c r="MC6" s="525">
        <f t="shared" si="5"/>
        <v>2020.16659400001</v>
      </c>
      <c r="MD6" s="525">
        <f t="shared" si="5"/>
        <v>2020.2499270000101</v>
      </c>
      <c r="ME6" s="525">
        <f t="shared" si="5"/>
        <v>2020.2499270000101</v>
      </c>
      <c r="MF6" s="525">
        <f t="shared" si="5"/>
        <v>2020.3332600000099</v>
      </c>
      <c r="MG6" s="525">
        <f t="shared" si="5"/>
        <v>2020.4165930000099</v>
      </c>
      <c r="MH6" s="525">
        <f t="shared" si="5"/>
        <v>2020.49992600001</v>
      </c>
      <c r="MI6" s="525">
        <f t="shared" si="5"/>
        <v>2020.49992600001</v>
      </c>
      <c r="MJ6" s="525">
        <f t="shared" si="5"/>
        <v>2020.58325900001</v>
      </c>
      <c r="MK6" s="525">
        <f t="shared" si="5"/>
        <v>2020.66659200001</v>
      </c>
      <c r="ML6" s="525">
        <f t="shared" si="5"/>
        <v>2020.7499250000101</v>
      </c>
      <c r="MM6" s="525">
        <f t="shared" si="5"/>
        <v>2020.7499250000101</v>
      </c>
      <c r="MN6" s="525">
        <f t="shared" si="5"/>
        <v>2020.8332580000099</v>
      </c>
      <c r="MO6" s="525">
        <f t="shared" si="5"/>
        <v>2020.9165910000099</v>
      </c>
      <c r="MP6" s="525">
        <f t="shared" si="5"/>
        <v>2020.9165910000099</v>
      </c>
    </row>
    <row r="7" spans="1:354" x14ac:dyDescent="0.25">
      <c r="A7" s="525" t="s">
        <v>52</v>
      </c>
      <c r="B7" s="525">
        <f>INDEX($H$3:$JK$3,MATCH(B$12,$H$3:$JK$3,1)+1)</f>
        <v>1999.083345</v>
      </c>
      <c r="C7" s="525">
        <f t="shared" ref="C7:BN7" si="6">INDEX($H$3:$JK$3,MATCH(C$12,$H$3:$JK$3,1)+1)</f>
        <v>1999.083345</v>
      </c>
      <c r="D7" s="525">
        <f t="shared" si="6"/>
        <v>1999.166678</v>
      </c>
      <c r="E7" s="525">
        <f t="shared" si="6"/>
        <v>1999.2500110000001</v>
      </c>
      <c r="F7" s="525">
        <f t="shared" si="6"/>
        <v>1999.2500110000001</v>
      </c>
      <c r="G7" s="525">
        <f t="shared" si="6"/>
        <v>1999.3333439999999</v>
      </c>
      <c r="H7" s="525">
        <f t="shared" si="6"/>
        <v>1999.4166769999999</v>
      </c>
      <c r="I7" s="525">
        <f t="shared" si="6"/>
        <v>1999.50001</v>
      </c>
      <c r="J7" s="525">
        <f t="shared" si="6"/>
        <v>1999.50001</v>
      </c>
      <c r="K7" s="525">
        <f t="shared" si="6"/>
        <v>1999.583343</v>
      </c>
      <c r="L7" s="525">
        <f t="shared" si="6"/>
        <v>1999.6666760000001</v>
      </c>
      <c r="M7" s="525">
        <f t="shared" si="6"/>
        <v>1999.7500090000001</v>
      </c>
      <c r="N7" s="525">
        <f t="shared" si="6"/>
        <v>1999.7500090000001</v>
      </c>
      <c r="O7" s="525">
        <f t="shared" si="6"/>
        <v>1999.8333419999999</v>
      </c>
      <c r="P7" s="525">
        <f t="shared" si="6"/>
        <v>1999.9166749999999</v>
      </c>
      <c r="Q7" s="525">
        <f t="shared" si="6"/>
        <v>2000.000008</v>
      </c>
      <c r="R7" s="525">
        <f t="shared" si="6"/>
        <v>2000.000008</v>
      </c>
      <c r="S7" s="525">
        <f t="shared" si="6"/>
        <v>2000.083341</v>
      </c>
      <c r="T7" s="525">
        <f t="shared" si="6"/>
        <v>2000.1666740000001</v>
      </c>
      <c r="U7" s="525">
        <f t="shared" si="6"/>
        <v>2000.2500070000001</v>
      </c>
      <c r="V7" s="525">
        <f t="shared" si="6"/>
        <v>2000.2500070000001</v>
      </c>
      <c r="W7" s="525">
        <f t="shared" si="6"/>
        <v>2000.3333399999999</v>
      </c>
      <c r="X7" s="525">
        <f t="shared" si="6"/>
        <v>2000.4166729999999</v>
      </c>
      <c r="Y7" s="525">
        <f t="shared" si="6"/>
        <v>2000.500006</v>
      </c>
      <c r="Z7" s="525">
        <f t="shared" si="6"/>
        <v>2000.500006</v>
      </c>
      <c r="AA7" s="525">
        <f t="shared" si="6"/>
        <v>2000.583339</v>
      </c>
      <c r="AB7" s="525">
        <f t="shared" si="6"/>
        <v>2000.6666720000001</v>
      </c>
      <c r="AC7" s="525">
        <f t="shared" si="6"/>
        <v>2000.7500050000001</v>
      </c>
      <c r="AD7" s="525">
        <f t="shared" si="6"/>
        <v>2000.7500050000001</v>
      </c>
      <c r="AE7" s="525">
        <f t="shared" si="6"/>
        <v>2000.8333379999999</v>
      </c>
      <c r="AF7" s="525">
        <f t="shared" si="6"/>
        <v>2000.916671</v>
      </c>
      <c r="AG7" s="525">
        <f t="shared" si="6"/>
        <v>2001.000004</v>
      </c>
      <c r="AH7" s="525">
        <f t="shared" si="6"/>
        <v>2001.000004</v>
      </c>
      <c r="AI7" s="525">
        <f t="shared" si="6"/>
        <v>2001.083337</v>
      </c>
      <c r="AJ7" s="525">
        <f t="shared" si="6"/>
        <v>2001.1666700000001</v>
      </c>
      <c r="AK7" s="525">
        <f t="shared" si="6"/>
        <v>2001.2500030000001</v>
      </c>
      <c r="AL7" s="525">
        <f t="shared" si="6"/>
        <v>2001.2500030000001</v>
      </c>
      <c r="AM7" s="525">
        <f t="shared" si="6"/>
        <v>2001.3333359999999</v>
      </c>
      <c r="AN7" s="525">
        <f t="shared" si="6"/>
        <v>2001.416669</v>
      </c>
      <c r="AO7" s="525">
        <f t="shared" si="6"/>
        <v>2001.500002</v>
      </c>
      <c r="AP7" s="525">
        <f t="shared" si="6"/>
        <v>2001.500002</v>
      </c>
      <c r="AQ7" s="525">
        <f t="shared" si="6"/>
        <v>2001.583335</v>
      </c>
      <c r="AR7" s="525">
        <f t="shared" si="6"/>
        <v>2001.6666680000001</v>
      </c>
      <c r="AS7" s="525">
        <f t="shared" si="6"/>
        <v>2001.7500010000001</v>
      </c>
      <c r="AT7" s="525">
        <f t="shared" si="6"/>
        <v>2001.7500010000001</v>
      </c>
      <c r="AU7" s="525">
        <f t="shared" si="6"/>
        <v>2001.8333339999999</v>
      </c>
      <c r="AV7" s="525">
        <f t="shared" si="6"/>
        <v>2001.916667</v>
      </c>
      <c r="AW7" s="525">
        <f t="shared" si="6"/>
        <v>2002</v>
      </c>
      <c r="AX7" s="525">
        <f t="shared" si="6"/>
        <v>2002.083333</v>
      </c>
      <c r="AY7" s="525">
        <f t="shared" si="6"/>
        <v>2002.083333</v>
      </c>
      <c r="AZ7" s="525">
        <f t="shared" si="6"/>
        <v>2002.1666660000001</v>
      </c>
      <c r="BA7" s="525">
        <f t="shared" si="6"/>
        <v>2002.2499989999999</v>
      </c>
      <c r="BB7" s="525">
        <f t="shared" si="6"/>
        <v>2002.3333319999999</v>
      </c>
      <c r="BC7" s="525">
        <f t="shared" si="6"/>
        <v>2002.3333319999999</v>
      </c>
      <c r="BD7" s="525">
        <f t="shared" si="6"/>
        <v>2002.416665</v>
      </c>
      <c r="BE7" s="525">
        <f t="shared" si="6"/>
        <v>2002.499998</v>
      </c>
      <c r="BF7" s="525">
        <f t="shared" si="6"/>
        <v>2002.583331</v>
      </c>
      <c r="BG7" s="525">
        <f t="shared" si="6"/>
        <v>2002.583331</v>
      </c>
      <c r="BH7" s="525">
        <f t="shared" si="6"/>
        <v>2002.6666640000001</v>
      </c>
      <c r="BI7" s="525">
        <f t="shared" si="6"/>
        <v>2002.7499969999999</v>
      </c>
      <c r="BJ7" s="525">
        <f t="shared" si="6"/>
        <v>2002.8333299999999</v>
      </c>
      <c r="BK7" s="525">
        <f t="shared" si="6"/>
        <v>2002.8333299999999</v>
      </c>
      <c r="BL7" s="525">
        <f t="shared" si="6"/>
        <v>2002.916663</v>
      </c>
      <c r="BM7" s="525">
        <f t="shared" si="6"/>
        <v>2002.999996</v>
      </c>
      <c r="BN7" s="525">
        <f t="shared" si="6"/>
        <v>2003.083329</v>
      </c>
      <c r="BO7" s="525">
        <f t="shared" ref="BO7:DZ7" si="7">INDEX($H$3:$JK$3,MATCH(BO$12,$H$3:$JK$3,1)+1)</f>
        <v>2003.083329</v>
      </c>
      <c r="BP7" s="525">
        <f t="shared" si="7"/>
        <v>2003.1666620000001</v>
      </c>
      <c r="BQ7" s="525">
        <f t="shared" si="7"/>
        <v>2003.2499949999999</v>
      </c>
      <c r="BR7" s="525">
        <f t="shared" si="7"/>
        <v>2003.3333279999999</v>
      </c>
      <c r="BS7" s="525">
        <f t="shared" si="7"/>
        <v>2003.3333279999999</v>
      </c>
      <c r="BT7" s="525">
        <f t="shared" si="7"/>
        <v>2003.416661</v>
      </c>
      <c r="BU7" s="525">
        <f t="shared" si="7"/>
        <v>2003.499994</v>
      </c>
      <c r="BV7" s="525">
        <f t="shared" si="7"/>
        <v>2003.5833270000001</v>
      </c>
      <c r="BW7" s="525">
        <f t="shared" si="7"/>
        <v>2003.5833270000001</v>
      </c>
      <c r="BX7" s="525">
        <f t="shared" si="7"/>
        <v>2003.6666600000001</v>
      </c>
      <c r="BY7" s="525">
        <f t="shared" si="7"/>
        <v>2003.7499929999999</v>
      </c>
      <c r="BZ7" s="525">
        <f t="shared" si="7"/>
        <v>2003.8333259999999</v>
      </c>
      <c r="CA7" s="525">
        <f t="shared" si="7"/>
        <v>2003.8333259999999</v>
      </c>
      <c r="CB7" s="525">
        <f t="shared" si="7"/>
        <v>2003.916659</v>
      </c>
      <c r="CC7" s="525">
        <f t="shared" si="7"/>
        <v>2003.999992</v>
      </c>
      <c r="CD7" s="525">
        <f t="shared" si="7"/>
        <v>2004.0833250000001</v>
      </c>
      <c r="CE7" s="525">
        <f t="shared" si="7"/>
        <v>2004.0833250000001</v>
      </c>
      <c r="CF7" s="525">
        <f t="shared" si="7"/>
        <v>2004.1666580000001</v>
      </c>
      <c r="CG7" s="525">
        <f t="shared" si="7"/>
        <v>2004.2499909999999</v>
      </c>
      <c r="CH7" s="525">
        <f t="shared" si="7"/>
        <v>2004.3333239999999</v>
      </c>
      <c r="CI7" s="525">
        <f t="shared" si="7"/>
        <v>2004.3333239999999</v>
      </c>
      <c r="CJ7" s="525">
        <f t="shared" si="7"/>
        <v>2004.416657</v>
      </c>
      <c r="CK7" s="525">
        <f t="shared" si="7"/>
        <v>2004.49999</v>
      </c>
      <c r="CL7" s="525">
        <f t="shared" si="7"/>
        <v>2004.5833230000001</v>
      </c>
      <c r="CM7" s="525">
        <f t="shared" si="7"/>
        <v>2004.5833230000001</v>
      </c>
      <c r="CN7" s="525">
        <f t="shared" si="7"/>
        <v>2004.6666560000001</v>
      </c>
      <c r="CO7" s="525">
        <f t="shared" si="7"/>
        <v>2004.7499889999999</v>
      </c>
      <c r="CP7" s="525">
        <f t="shared" si="7"/>
        <v>2004.833322</v>
      </c>
      <c r="CQ7" s="525">
        <f t="shared" si="7"/>
        <v>2004.833322</v>
      </c>
      <c r="CR7" s="525">
        <f t="shared" si="7"/>
        <v>2004.916655</v>
      </c>
      <c r="CS7" s="525">
        <f t="shared" si="7"/>
        <v>2004.999988</v>
      </c>
      <c r="CT7" s="525">
        <f t="shared" si="7"/>
        <v>2005.0833210000001</v>
      </c>
      <c r="CU7" s="525">
        <f t="shared" si="7"/>
        <v>2005.0833210000001</v>
      </c>
      <c r="CV7" s="525">
        <f t="shared" si="7"/>
        <v>2005.1666540000001</v>
      </c>
      <c r="CW7" s="525">
        <f t="shared" si="7"/>
        <v>2005.2499869999999</v>
      </c>
      <c r="CX7" s="525">
        <f t="shared" si="7"/>
        <v>2005.33332</v>
      </c>
      <c r="CY7" s="525">
        <f t="shared" si="7"/>
        <v>2005.33332</v>
      </c>
      <c r="CZ7" s="525">
        <f t="shared" si="7"/>
        <v>2005.416653</v>
      </c>
      <c r="DA7" s="525">
        <f t="shared" si="7"/>
        <v>2005.499986</v>
      </c>
      <c r="DB7" s="525">
        <f t="shared" si="7"/>
        <v>2005.5833190000001</v>
      </c>
      <c r="DC7" s="525">
        <f t="shared" si="7"/>
        <v>2005.5833190000001</v>
      </c>
      <c r="DD7" s="525">
        <f t="shared" si="7"/>
        <v>2005.6666520000001</v>
      </c>
      <c r="DE7" s="525">
        <f t="shared" si="7"/>
        <v>2005.7499849999999</v>
      </c>
      <c r="DF7" s="525">
        <f t="shared" si="7"/>
        <v>2005.833318</v>
      </c>
      <c r="DG7" s="525">
        <f t="shared" si="7"/>
        <v>2005.833318</v>
      </c>
      <c r="DH7" s="525">
        <f t="shared" si="7"/>
        <v>2005.916651</v>
      </c>
      <c r="DI7" s="525">
        <f t="shared" si="7"/>
        <v>2005.999984</v>
      </c>
      <c r="DJ7" s="525">
        <f t="shared" si="7"/>
        <v>2006.0833170000001</v>
      </c>
      <c r="DK7" s="525">
        <f t="shared" si="7"/>
        <v>2006.0833170000001</v>
      </c>
      <c r="DL7" s="525">
        <f t="shared" si="7"/>
        <v>2006.1666499999999</v>
      </c>
      <c r="DM7" s="525">
        <f t="shared" si="7"/>
        <v>2006.2499829999999</v>
      </c>
      <c r="DN7" s="525">
        <f t="shared" si="7"/>
        <v>2006.333316</v>
      </c>
      <c r="DO7" s="525">
        <f t="shared" si="7"/>
        <v>2006.333316</v>
      </c>
      <c r="DP7" s="525">
        <f t="shared" si="7"/>
        <v>2006.416649</v>
      </c>
      <c r="DQ7" s="525">
        <f t="shared" si="7"/>
        <v>2006.499982</v>
      </c>
      <c r="DR7" s="525">
        <f t="shared" si="7"/>
        <v>2006.5833150000001</v>
      </c>
      <c r="DS7" s="525">
        <f t="shared" si="7"/>
        <v>2006.5833150000001</v>
      </c>
      <c r="DT7" s="525">
        <f t="shared" si="7"/>
        <v>2006.6666479999999</v>
      </c>
      <c r="DU7" s="525">
        <f t="shared" si="7"/>
        <v>2006.7499809999999</v>
      </c>
      <c r="DV7" s="525">
        <f t="shared" si="7"/>
        <v>2006.833314</v>
      </c>
      <c r="DW7" s="525">
        <f t="shared" si="7"/>
        <v>2006.833314</v>
      </c>
      <c r="DX7" s="525">
        <f t="shared" si="7"/>
        <v>2006.916647</v>
      </c>
      <c r="DY7" s="525">
        <f t="shared" si="7"/>
        <v>2006.9999800000001</v>
      </c>
      <c r="DZ7" s="525">
        <f t="shared" si="7"/>
        <v>2007.0833130000001</v>
      </c>
      <c r="EA7" s="525">
        <f t="shared" ref="EA7:GL7" si="8">INDEX($H$3:$JK$3,MATCH(EA$12,$H$3:$JK$3,1)+1)</f>
        <v>2007.0833130000001</v>
      </c>
      <c r="EB7" s="525">
        <f t="shared" si="8"/>
        <v>2007.1666459999999</v>
      </c>
      <c r="EC7" s="525">
        <f t="shared" si="8"/>
        <v>2007.2499789999999</v>
      </c>
      <c r="ED7" s="525">
        <f t="shared" si="8"/>
        <v>2007.333312</v>
      </c>
      <c r="EE7" s="525">
        <f t="shared" si="8"/>
        <v>2007.333312</v>
      </c>
      <c r="EF7" s="525">
        <f t="shared" si="8"/>
        <v>2007.416645</v>
      </c>
      <c r="EG7" s="525">
        <f t="shared" si="8"/>
        <v>2007.4999780000001</v>
      </c>
      <c r="EH7" s="525">
        <f t="shared" si="8"/>
        <v>2007.5833110000001</v>
      </c>
      <c r="EI7" s="525">
        <f t="shared" si="8"/>
        <v>2007.5833110000001</v>
      </c>
      <c r="EJ7" s="525">
        <f t="shared" si="8"/>
        <v>2007.6666439999999</v>
      </c>
      <c r="EK7" s="525">
        <f t="shared" si="8"/>
        <v>2007.7499769999999</v>
      </c>
      <c r="EL7" s="525">
        <f t="shared" si="8"/>
        <v>2007.83331</v>
      </c>
      <c r="EM7" s="525">
        <f t="shared" si="8"/>
        <v>2007.83331</v>
      </c>
      <c r="EN7" s="525">
        <f t="shared" si="8"/>
        <v>2007.916643</v>
      </c>
      <c r="EO7" s="525">
        <f t="shared" si="8"/>
        <v>2007.9999760000001</v>
      </c>
      <c r="EP7" s="525">
        <f t="shared" si="8"/>
        <v>2008.0833090000001</v>
      </c>
      <c r="EQ7" s="525">
        <f t="shared" si="8"/>
        <v>2008.0833090000001</v>
      </c>
      <c r="ER7" s="525">
        <f t="shared" si="8"/>
        <v>2008.1666419999999</v>
      </c>
      <c r="ES7" s="525">
        <f t="shared" si="8"/>
        <v>2008.2499749999999</v>
      </c>
      <c r="ET7" s="525">
        <f t="shared" si="8"/>
        <v>2008.333308</v>
      </c>
      <c r="EU7" s="525">
        <f t="shared" si="8"/>
        <v>2008.333308</v>
      </c>
      <c r="EV7" s="525">
        <f t="shared" si="8"/>
        <v>2008.416641</v>
      </c>
      <c r="EW7" s="525">
        <f t="shared" si="8"/>
        <v>2008.4999740000001</v>
      </c>
      <c r="EX7" s="525">
        <f t="shared" si="8"/>
        <v>2008.5833070000001</v>
      </c>
      <c r="EY7" s="525">
        <f t="shared" si="8"/>
        <v>2008.5833070000001</v>
      </c>
      <c r="EZ7" s="525">
        <f t="shared" si="8"/>
        <v>2008.6666399999999</v>
      </c>
      <c r="FA7" s="525">
        <f t="shared" si="8"/>
        <v>2008.749973</v>
      </c>
      <c r="FB7" s="525">
        <f t="shared" si="8"/>
        <v>2008.833306</v>
      </c>
      <c r="FC7" s="525">
        <f t="shared" si="8"/>
        <v>2008.833306</v>
      </c>
      <c r="FD7" s="525">
        <f t="shared" si="8"/>
        <v>2008.916639</v>
      </c>
      <c r="FE7" s="525">
        <f t="shared" si="8"/>
        <v>2008.9999720000001</v>
      </c>
      <c r="FF7" s="525">
        <f t="shared" si="8"/>
        <v>2009.0833050000001</v>
      </c>
      <c r="FG7" s="525">
        <f t="shared" si="8"/>
        <v>2009.0833050000001</v>
      </c>
      <c r="FH7" s="525">
        <f t="shared" si="8"/>
        <v>2009.1666379999999</v>
      </c>
      <c r="FI7" s="525">
        <f t="shared" si="8"/>
        <v>2009.249971</v>
      </c>
      <c r="FJ7" s="525">
        <f t="shared" si="8"/>
        <v>2009.333304</v>
      </c>
      <c r="FK7" s="525">
        <f t="shared" si="8"/>
        <v>2009.333304</v>
      </c>
      <c r="FL7" s="525">
        <f t="shared" si="8"/>
        <v>2009.416637</v>
      </c>
      <c r="FM7" s="525">
        <f t="shared" si="8"/>
        <v>2009.4999700000001</v>
      </c>
      <c r="FN7" s="525">
        <f t="shared" si="8"/>
        <v>2009.5833029999999</v>
      </c>
      <c r="FO7" s="525">
        <f t="shared" si="8"/>
        <v>2009.5833029999999</v>
      </c>
      <c r="FP7" s="525">
        <f t="shared" si="8"/>
        <v>2009.6666359999999</v>
      </c>
      <c r="FQ7" s="525">
        <f t="shared" si="8"/>
        <v>2009.749969</v>
      </c>
      <c r="FR7" s="525">
        <f t="shared" si="8"/>
        <v>2009.833302</v>
      </c>
      <c r="FS7" s="525">
        <f t="shared" si="8"/>
        <v>2009.833302</v>
      </c>
      <c r="FT7" s="525">
        <f t="shared" si="8"/>
        <v>2009.916635</v>
      </c>
      <c r="FU7" s="525">
        <f t="shared" si="8"/>
        <v>2009.9999680000001</v>
      </c>
      <c r="FV7" s="525">
        <f t="shared" si="8"/>
        <v>2010.0833009999999</v>
      </c>
      <c r="FW7" s="525">
        <f t="shared" si="8"/>
        <v>2010.0833009999999</v>
      </c>
      <c r="FX7" s="525">
        <f t="shared" si="8"/>
        <v>2010.1666339999999</v>
      </c>
      <c r="FY7" s="525">
        <f t="shared" si="8"/>
        <v>2010.249967</v>
      </c>
      <c r="FZ7" s="525">
        <f t="shared" si="8"/>
        <v>2010.3333</v>
      </c>
      <c r="GA7" s="525">
        <f t="shared" si="8"/>
        <v>2010.3333</v>
      </c>
      <c r="GB7" s="525">
        <f t="shared" si="8"/>
        <v>2010.416633</v>
      </c>
      <c r="GC7" s="525">
        <f t="shared" si="8"/>
        <v>2010.4999660000001</v>
      </c>
      <c r="GD7" s="525">
        <f t="shared" si="8"/>
        <v>2010.5832989999999</v>
      </c>
      <c r="GE7" s="525">
        <f t="shared" si="8"/>
        <v>2010.5832989999999</v>
      </c>
      <c r="GF7" s="525">
        <f t="shared" si="8"/>
        <v>2010.6666319999999</v>
      </c>
      <c r="GG7" s="525">
        <f t="shared" si="8"/>
        <v>2010.749965</v>
      </c>
      <c r="GH7" s="525">
        <f t="shared" si="8"/>
        <v>2010.833298</v>
      </c>
      <c r="GI7" s="525">
        <f t="shared" si="8"/>
        <v>2010.833298</v>
      </c>
      <c r="GJ7" s="525">
        <f t="shared" si="8"/>
        <v>2010.9166310000001</v>
      </c>
      <c r="GK7" s="525">
        <f t="shared" si="8"/>
        <v>2010.9999640000001</v>
      </c>
      <c r="GL7" s="525">
        <f t="shared" si="8"/>
        <v>2011.0832969999999</v>
      </c>
      <c r="GM7" s="525">
        <f t="shared" ref="GM7:IX7" si="9">INDEX($H$3:$JK$3,MATCH(GM$12,$H$3:$JK$3,1)+1)</f>
        <v>2011.0832969999999</v>
      </c>
      <c r="GN7" s="525">
        <f t="shared" si="9"/>
        <v>2011.1666299999999</v>
      </c>
      <c r="GO7" s="525">
        <f t="shared" si="9"/>
        <v>2011.249963</v>
      </c>
      <c r="GP7" s="525">
        <f t="shared" si="9"/>
        <v>2011.333296</v>
      </c>
      <c r="GQ7" s="525">
        <f t="shared" si="9"/>
        <v>2011.333296</v>
      </c>
      <c r="GR7" s="525">
        <f t="shared" si="9"/>
        <v>2011.4166290000001</v>
      </c>
      <c r="GS7" s="525">
        <f t="shared" si="9"/>
        <v>2011.4999620000001</v>
      </c>
      <c r="GT7" s="525">
        <f t="shared" si="9"/>
        <v>2011.5832949999999</v>
      </c>
      <c r="GU7" s="525">
        <f t="shared" si="9"/>
        <v>2011.5832949999999</v>
      </c>
      <c r="GV7" s="525">
        <f t="shared" si="9"/>
        <v>2011.6666279999999</v>
      </c>
      <c r="GW7" s="525">
        <f t="shared" si="9"/>
        <v>2011.749961</v>
      </c>
      <c r="GX7" s="525">
        <f t="shared" si="9"/>
        <v>2011.833294</v>
      </c>
      <c r="GY7" s="525">
        <f t="shared" si="9"/>
        <v>2011.833294</v>
      </c>
      <c r="GZ7" s="525">
        <f t="shared" si="9"/>
        <v>2011.9166270000001</v>
      </c>
      <c r="HA7" s="525">
        <f t="shared" si="9"/>
        <v>2011.9999600000001</v>
      </c>
      <c r="HB7" s="525">
        <f t="shared" si="9"/>
        <v>2012.0832929999999</v>
      </c>
      <c r="HC7" s="525">
        <f t="shared" si="9"/>
        <v>2012.0832929999999</v>
      </c>
      <c r="HD7" s="525">
        <f t="shared" si="9"/>
        <v>2012.166626</v>
      </c>
      <c r="HE7" s="525">
        <f t="shared" si="9"/>
        <v>2012.249959</v>
      </c>
      <c r="HF7" s="525">
        <f t="shared" si="9"/>
        <v>2012.333292</v>
      </c>
      <c r="HG7" s="525">
        <f t="shared" si="9"/>
        <v>2012.333292</v>
      </c>
      <c r="HH7" s="525">
        <f t="shared" si="9"/>
        <v>2012.4166250000001</v>
      </c>
      <c r="HI7" s="525">
        <f t="shared" si="9"/>
        <v>2012.4999580000001</v>
      </c>
      <c r="HJ7" s="525">
        <f t="shared" si="9"/>
        <v>2012.5832909999999</v>
      </c>
      <c r="HK7" s="525">
        <f t="shared" si="9"/>
        <v>2012.5832909999999</v>
      </c>
      <c r="HL7" s="525">
        <f t="shared" si="9"/>
        <v>2012.666624</v>
      </c>
      <c r="HM7" s="525">
        <f t="shared" si="9"/>
        <v>2012.749957</v>
      </c>
      <c r="HN7" s="525">
        <f t="shared" si="9"/>
        <v>2012.83329</v>
      </c>
      <c r="HO7" s="525">
        <f t="shared" si="9"/>
        <v>2012.83329</v>
      </c>
      <c r="HP7" s="525">
        <f t="shared" si="9"/>
        <v>2012.9166230000001</v>
      </c>
      <c r="HQ7" s="525">
        <f t="shared" si="9"/>
        <v>2012.9999560000001</v>
      </c>
      <c r="HR7" s="525">
        <f t="shared" si="9"/>
        <v>2013.0832889999999</v>
      </c>
      <c r="HS7" s="525">
        <f t="shared" si="9"/>
        <v>2013.0832889999999</v>
      </c>
      <c r="HT7" s="525">
        <f t="shared" si="9"/>
        <v>2013.166622</v>
      </c>
      <c r="HU7" s="525">
        <f t="shared" si="9"/>
        <v>2013.249955</v>
      </c>
      <c r="HV7" s="525">
        <f t="shared" si="9"/>
        <v>2013.333288</v>
      </c>
      <c r="HW7" s="525">
        <f t="shared" si="9"/>
        <v>2013.333288</v>
      </c>
      <c r="HX7" s="525">
        <f t="shared" si="9"/>
        <v>2013.4166210000001</v>
      </c>
      <c r="HY7" s="525">
        <f t="shared" si="9"/>
        <v>2013.4999539999999</v>
      </c>
      <c r="HZ7" s="525">
        <f t="shared" si="9"/>
        <v>2013.5832869999999</v>
      </c>
      <c r="IA7" s="525">
        <f t="shared" si="9"/>
        <v>2013.5832869999999</v>
      </c>
      <c r="IB7" s="525">
        <f t="shared" si="9"/>
        <v>2013.66662</v>
      </c>
      <c r="IC7" s="525">
        <f t="shared" si="9"/>
        <v>2013.749953</v>
      </c>
      <c r="ID7" s="525">
        <f t="shared" si="9"/>
        <v>2013.833286</v>
      </c>
      <c r="IE7" s="525">
        <f t="shared" si="9"/>
        <v>2013.833286</v>
      </c>
      <c r="IF7" s="525">
        <f t="shared" si="9"/>
        <v>2013.9166190000001</v>
      </c>
      <c r="IG7" s="525">
        <f t="shared" si="9"/>
        <v>2013.9999519999999</v>
      </c>
      <c r="IH7" s="525">
        <f t="shared" si="9"/>
        <v>2014.0832849999999</v>
      </c>
      <c r="II7" s="525">
        <f t="shared" si="9"/>
        <v>2014.0832849999999</v>
      </c>
      <c r="IJ7" s="525">
        <f t="shared" si="9"/>
        <v>2014.166618</v>
      </c>
      <c r="IK7" s="525">
        <f t="shared" si="9"/>
        <v>2014.249951</v>
      </c>
      <c r="IL7" s="525">
        <f t="shared" si="9"/>
        <v>2014.333284</v>
      </c>
      <c r="IM7" s="525">
        <f t="shared" si="9"/>
        <v>2014.333284</v>
      </c>
      <c r="IN7" s="525">
        <f t="shared" si="9"/>
        <v>2014.4166170000001</v>
      </c>
      <c r="IO7" s="525">
        <f t="shared" si="9"/>
        <v>2014.4999499999999</v>
      </c>
      <c r="IP7" s="525">
        <f t="shared" si="9"/>
        <v>2014.5832829999999</v>
      </c>
      <c r="IQ7" s="525">
        <f t="shared" si="9"/>
        <v>2014.5832829999999</v>
      </c>
      <c r="IR7" s="525">
        <f t="shared" si="9"/>
        <v>2014.666616</v>
      </c>
      <c r="IS7" s="525">
        <f t="shared" si="9"/>
        <v>2014.74994900001</v>
      </c>
      <c r="IT7" s="525">
        <f t="shared" si="9"/>
        <v>2014.8332820000101</v>
      </c>
      <c r="IU7" s="525">
        <f t="shared" si="9"/>
        <v>2014.8332820000101</v>
      </c>
      <c r="IV7" s="525">
        <f t="shared" si="9"/>
        <v>2014.9166150000101</v>
      </c>
      <c r="IW7" s="525">
        <f t="shared" si="9"/>
        <v>2014.9999480000099</v>
      </c>
      <c r="IX7" s="525">
        <f t="shared" si="9"/>
        <v>2015.0832810000099</v>
      </c>
      <c r="IY7" s="525">
        <f t="shared" ref="IY7:LJ7" si="10">INDEX($H$3:$JK$3,MATCH(IY$12,$H$3:$JK$3,1)+1)</f>
        <v>2015.0832810000099</v>
      </c>
      <c r="IZ7" s="525">
        <f t="shared" si="10"/>
        <v>2015.16661400001</v>
      </c>
      <c r="JA7" s="525">
        <f t="shared" si="10"/>
        <v>2015.24994700001</v>
      </c>
      <c r="JB7" s="525">
        <f t="shared" si="10"/>
        <v>2015.3332800000101</v>
      </c>
      <c r="JC7" s="525">
        <f t="shared" si="10"/>
        <v>2015.3332800000101</v>
      </c>
      <c r="JD7" s="525">
        <f t="shared" si="10"/>
        <v>2015.4166130000101</v>
      </c>
      <c r="JE7" s="525">
        <f t="shared" si="10"/>
        <v>2015.4999460000099</v>
      </c>
      <c r="JF7" s="525">
        <f t="shared" si="10"/>
        <v>2015.58327900001</v>
      </c>
      <c r="JG7" s="525">
        <f t="shared" si="10"/>
        <v>2015.58327900001</v>
      </c>
      <c r="JH7" s="525">
        <f t="shared" si="10"/>
        <v>2015.66661200001</v>
      </c>
      <c r="JI7" s="525">
        <f t="shared" si="10"/>
        <v>2015.74994500001</v>
      </c>
      <c r="JJ7" s="525">
        <f t="shared" si="10"/>
        <v>2015.8332780000101</v>
      </c>
      <c r="JK7" s="525">
        <f t="shared" si="10"/>
        <v>2015.8332780000101</v>
      </c>
      <c r="JL7" s="525">
        <f t="shared" si="10"/>
        <v>2015.9166110000101</v>
      </c>
      <c r="JM7" s="525">
        <f t="shared" si="10"/>
        <v>2015.9999440000099</v>
      </c>
      <c r="JN7" s="525">
        <f t="shared" si="10"/>
        <v>2016.08327700001</v>
      </c>
      <c r="JO7" s="525">
        <f t="shared" si="10"/>
        <v>2016.08327700001</v>
      </c>
      <c r="JP7" s="525">
        <f t="shared" si="10"/>
        <v>2016.16661000001</v>
      </c>
      <c r="JQ7" s="525">
        <f t="shared" si="10"/>
        <v>2016.24994300001</v>
      </c>
      <c r="JR7" s="525">
        <f t="shared" si="10"/>
        <v>2016.3332760000101</v>
      </c>
      <c r="JS7" s="525">
        <f t="shared" si="10"/>
        <v>2016.3332760000101</v>
      </c>
      <c r="JT7" s="525">
        <f t="shared" si="10"/>
        <v>2016.4166090000101</v>
      </c>
      <c r="JU7" s="525">
        <f t="shared" si="10"/>
        <v>2016.4999420000099</v>
      </c>
      <c r="JV7" s="525">
        <f t="shared" si="10"/>
        <v>2016.58327500001</v>
      </c>
      <c r="JW7" s="525">
        <f t="shared" si="10"/>
        <v>2016.58327500001</v>
      </c>
      <c r="JX7" s="525">
        <f t="shared" si="10"/>
        <v>2016.66660800001</v>
      </c>
      <c r="JY7" s="525">
        <f t="shared" si="10"/>
        <v>2016.74994100001</v>
      </c>
      <c r="JZ7" s="525">
        <f t="shared" si="10"/>
        <v>2016.8332740000101</v>
      </c>
      <c r="KA7" s="525">
        <f t="shared" si="10"/>
        <v>2016.8332740000101</v>
      </c>
      <c r="KB7" s="525">
        <f t="shared" si="10"/>
        <v>2016.9166070000099</v>
      </c>
      <c r="KC7" s="525">
        <f t="shared" si="10"/>
        <v>2016.9999400000099</v>
      </c>
      <c r="KD7" s="525">
        <f t="shared" si="10"/>
        <v>2017.08327300001</v>
      </c>
      <c r="KE7" s="525">
        <f t="shared" si="10"/>
        <v>2017.08327300001</v>
      </c>
      <c r="KF7" s="525">
        <f t="shared" si="10"/>
        <v>2017.16660600001</v>
      </c>
      <c r="KG7" s="525">
        <f t="shared" si="10"/>
        <v>2017.24993900001</v>
      </c>
      <c r="KH7" s="525">
        <f t="shared" si="10"/>
        <v>2017.3332720000101</v>
      </c>
      <c r="KI7" s="525">
        <f t="shared" si="10"/>
        <v>2017.3332720000101</v>
      </c>
      <c r="KJ7" s="525">
        <f t="shared" si="10"/>
        <v>2017.4166050000099</v>
      </c>
      <c r="KK7" s="525">
        <f t="shared" si="10"/>
        <v>2017.4999380000099</v>
      </c>
      <c r="KL7" s="525">
        <f t="shared" si="10"/>
        <v>2017.58327100001</v>
      </c>
      <c r="KM7" s="525">
        <f t="shared" si="10"/>
        <v>2017.58327100001</v>
      </c>
      <c r="KN7" s="525">
        <f t="shared" si="10"/>
        <v>2017.66660400001</v>
      </c>
      <c r="KO7" s="525">
        <f t="shared" si="10"/>
        <v>2017.74993700001</v>
      </c>
      <c r="KP7" s="525">
        <f t="shared" si="10"/>
        <v>2017.8332700000101</v>
      </c>
      <c r="KQ7" s="525">
        <f t="shared" si="10"/>
        <v>2017.8332700000101</v>
      </c>
      <c r="KR7" s="525">
        <f t="shared" si="10"/>
        <v>2017.9166030000099</v>
      </c>
      <c r="KS7" s="525">
        <f t="shared" si="10"/>
        <v>2017.9999360000099</v>
      </c>
      <c r="KT7" s="525">
        <f t="shared" si="10"/>
        <v>2018.08326900001</v>
      </c>
      <c r="KU7" s="525">
        <f t="shared" si="10"/>
        <v>2018.08326900001</v>
      </c>
      <c r="KV7" s="525">
        <f t="shared" si="10"/>
        <v>2018.16660200001</v>
      </c>
      <c r="KW7" s="525">
        <f t="shared" si="10"/>
        <v>2018.2499350000101</v>
      </c>
      <c r="KX7" s="525">
        <f t="shared" si="10"/>
        <v>2018.3332680000101</v>
      </c>
      <c r="KY7" s="525">
        <f t="shared" si="10"/>
        <v>2018.3332680000101</v>
      </c>
      <c r="KZ7" s="525">
        <f t="shared" si="10"/>
        <v>2018.4166010000099</v>
      </c>
      <c r="LA7" s="525">
        <f t="shared" si="10"/>
        <v>2018.4999340000099</v>
      </c>
      <c r="LB7" s="525">
        <f t="shared" si="10"/>
        <v>2018.58326700001</v>
      </c>
      <c r="LC7" s="525">
        <f t="shared" si="10"/>
        <v>2018.58326700001</v>
      </c>
      <c r="LD7" s="525">
        <f t="shared" si="10"/>
        <v>2018.66660000001</v>
      </c>
      <c r="LE7" s="525">
        <f t="shared" si="10"/>
        <v>2018.7499330000101</v>
      </c>
      <c r="LF7" s="525">
        <f t="shared" si="10"/>
        <v>2018.8332660000101</v>
      </c>
      <c r="LG7" s="525">
        <f t="shared" si="10"/>
        <v>2018.8332660000101</v>
      </c>
      <c r="LH7" s="525">
        <f t="shared" si="10"/>
        <v>2018.9165990000099</v>
      </c>
      <c r="LI7" s="525">
        <f t="shared" si="10"/>
        <v>2018.9999320000099</v>
      </c>
      <c r="LJ7" s="525">
        <f t="shared" si="10"/>
        <v>2019.08326500001</v>
      </c>
      <c r="LK7" s="525">
        <f t="shared" ref="LK7:MP7" si="11">INDEX($H$3:$JK$3,MATCH(LK$12,$H$3:$JK$3,1)+1)</f>
        <v>2019.08326500001</v>
      </c>
      <c r="LL7" s="525">
        <f t="shared" si="11"/>
        <v>2019.16659800001</v>
      </c>
      <c r="LM7" s="525">
        <f t="shared" si="11"/>
        <v>2019.2499310000101</v>
      </c>
      <c r="LN7" s="525">
        <f t="shared" si="11"/>
        <v>2019.3332640000101</v>
      </c>
      <c r="LO7" s="525">
        <f t="shared" si="11"/>
        <v>2019.3332640000101</v>
      </c>
      <c r="LP7" s="525">
        <f t="shared" si="11"/>
        <v>2019.4165970000099</v>
      </c>
      <c r="LQ7" s="525">
        <f t="shared" si="11"/>
        <v>2019.49993000001</v>
      </c>
      <c r="LR7" s="525">
        <f t="shared" si="11"/>
        <v>2019.58326300001</v>
      </c>
      <c r="LS7" s="525">
        <f t="shared" si="11"/>
        <v>2019.58326300001</v>
      </c>
      <c r="LT7" s="525">
        <f t="shared" si="11"/>
        <v>2019.66659600001</v>
      </c>
      <c r="LU7" s="525">
        <f t="shared" si="11"/>
        <v>2019.7499290000101</v>
      </c>
      <c r="LV7" s="525">
        <f t="shared" si="11"/>
        <v>2019.8332620000101</v>
      </c>
      <c r="LW7" s="525">
        <f t="shared" si="11"/>
        <v>2019.8332620000101</v>
      </c>
      <c r="LX7" s="525">
        <f t="shared" si="11"/>
        <v>2019.9165950000099</v>
      </c>
      <c r="LY7" s="525">
        <f t="shared" si="11"/>
        <v>2019.99992800001</v>
      </c>
      <c r="LZ7" s="525">
        <f t="shared" si="11"/>
        <v>2020.08326100001</v>
      </c>
      <c r="MA7" s="525">
        <f t="shared" si="11"/>
        <v>2020.08326100001</v>
      </c>
      <c r="MB7" s="525">
        <f t="shared" si="11"/>
        <v>2020.16659400001</v>
      </c>
      <c r="MC7" s="525">
        <f t="shared" si="11"/>
        <v>2020.2499270000101</v>
      </c>
      <c r="MD7" s="525">
        <f t="shared" si="11"/>
        <v>2020.3332600000099</v>
      </c>
      <c r="ME7" s="525">
        <f t="shared" si="11"/>
        <v>2020.3332600000099</v>
      </c>
      <c r="MF7" s="525">
        <f t="shared" si="11"/>
        <v>2020.4165930000099</v>
      </c>
      <c r="MG7" s="525">
        <f t="shared" si="11"/>
        <v>2020.49992600001</v>
      </c>
      <c r="MH7" s="525">
        <f t="shared" si="11"/>
        <v>2020.58325900001</v>
      </c>
      <c r="MI7" s="525">
        <f t="shared" si="11"/>
        <v>2020.58325900001</v>
      </c>
      <c r="MJ7" s="525">
        <f t="shared" si="11"/>
        <v>2020.66659200001</v>
      </c>
      <c r="MK7" s="525">
        <f t="shared" si="11"/>
        <v>2020.7499250000101</v>
      </c>
      <c r="ML7" s="525">
        <f t="shared" si="11"/>
        <v>2020.8332580000099</v>
      </c>
      <c r="MM7" s="525">
        <f t="shared" si="11"/>
        <v>2020.8332580000099</v>
      </c>
      <c r="MN7" s="525">
        <f t="shared" si="11"/>
        <v>2020.9165910000099</v>
      </c>
      <c r="MO7" s="525" t="e">
        <f t="shared" si="11"/>
        <v>#REF!</v>
      </c>
      <c r="MP7" s="525" t="e">
        <f t="shared" si="11"/>
        <v>#REF!</v>
      </c>
    </row>
    <row r="8" spans="1:354" x14ac:dyDescent="0.25">
      <c r="A8" s="525" t="s">
        <v>53</v>
      </c>
      <c r="B8" s="525">
        <f>INDEX($H$4:$JK$4,MATCH(B$12,$H$3:$JK$3,1))</f>
        <v>9771065.5693643093</v>
      </c>
      <c r="C8" s="525">
        <f t="shared" ref="C8:BN8" si="12">INDEX($H$4:$JK$4,MATCH(C$12,$H$3:$JK$3,1))</f>
        <v>9771065.5693643093</v>
      </c>
      <c r="D8" s="525">
        <f t="shared" si="12"/>
        <v>9804399.3227863312</v>
      </c>
      <c r="E8" s="525">
        <f t="shared" si="12"/>
        <v>9837733.0762084723</v>
      </c>
      <c r="F8" s="525">
        <f t="shared" si="12"/>
        <v>9837733.0762084723</v>
      </c>
      <c r="G8" s="525">
        <f t="shared" si="12"/>
        <v>9871066.8296306133</v>
      </c>
      <c r="H8" s="525">
        <f t="shared" si="12"/>
        <v>9904400.5830526352</v>
      </c>
      <c r="I8" s="525">
        <f t="shared" si="12"/>
        <v>9937734.3364746571</v>
      </c>
      <c r="J8" s="525">
        <f t="shared" si="12"/>
        <v>9937734.3364746571</v>
      </c>
      <c r="K8" s="525">
        <f t="shared" si="12"/>
        <v>9971068.0898967981</v>
      </c>
      <c r="L8" s="525">
        <f t="shared" si="12"/>
        <v>10004401.843318939</v>
      </c>
      <c r="M8" s="525">
        <f t="shared" si="12"/>
        <v>10037735.59674108</v>
      </c>
      <c r="N8" s="525">
        <f t="shared" si="12"/>
        <v>10037735.59674108</v>
      </c>
      <c r="O8" s="525">
        <f t="shared" si="12"/>
        <v>10071069.350163102</v>
      </c>
      <c r="P8" s="525">
        <f t="shared" si="12"/>
        <v>10104403.103585124</v>
      </c>
      <c r="Q8" s="525">
        <f t="shared" si="12"/>
        <v>10137736.857007265</v>
      </c>
      <c r="R8" s="525">
        <f t="shared" si="12"/>
        <v>10137736.857007265</v>
      </c>
      <c r="S8" s="525">
        <f t="shared" si="12"/>
        <v>10171070.610429406</v>
      </c>
      <c r="T8" s="525">
        <f t="shared" si="12"/>
        <v>10204404.363851428</v>
      </c>
      <c r="U8" s="525">
        <f t="shared" si="12"/>
        <v>10237738.117273569</v>
      </c>
      <c r="V8" s="525">
        <f t="shared" si="12"/>
        <v>10237738.117273569</v>
      </c>
      <c r="W8" s="525">
        <f t="shared" si="12"/>
        <v>10271071.87069571</v>
      </c>
      <c r="X8" s="525">
        <f t="shared" si="12"/>
        <v>10304405.624117732</v>
      </c>
      <c r="Y8" s="525">
        <f t="shared" si="12"/>
        <v>10337739.377539754</v>
      </c>
      <c r="Z8" s="525">
        <f t="shared" si="12"/>
        <v>10337739.377539754</v>
      </c>
      <c r="AA8" s="525">
        <f t="shared" si="12"/>
        <v>10371073.130961895</v>
      </c>
      <c r="AB8" s="525">
        <f t="shared" si="12"/>
        <v>10404406.884384036</v>
      </c>
      <c r="AC8" s="525">
        <f t="shared" si="12"/>
        <v>10437740.637806177</v>
      </c>
      <c r="AD8" s="525">
        <f t="shared" si="12"/>
        <v>10437740.637806177</v>
      </c>
      <c r="AE8" s="525">
        <f t="shared" si="12"/>
        <v>10471074.391228199</v>
      </c>
      <c r="AF8" s="525">
        <f t="shared" si="12"/>
        <v>10504408.144650221</v>
      </c>
      <c r="AG8" s="525">
        <f t="shared" si="12"/>
        <v>10537741.898072362</v>
      </c>
      <c r="AH8" s="525">
        <f t="shared" si="12"/>
        <v>10537741.898072362</v>
      </c>
      <c r="AI8" s="525">
        <f t="shared" si="12"/>
        <v>10571075.651494503</v>
      </c>
      <c r="AJ8" s="525">
        <f t="shared" si="12"/>
        <v>10604409.404916525</v>
      </c>
      <c r="AK8" s="525">
        <f t="shared" si="12"/>
        <v>10637743.158338666</v>
      </c>
      <c r="AL8" s="525">
        <f t="shared" si="12"/>
        <v>10637743.158338666</v>
      </c>
      <c r="AM8" s="525">
        <f t="shared" si="12"/>
        <v>10671076.911760807</v>
      </c>
      <c r="AN8" s="525">
        <f t="shared" si="12"/>
        <v>10704410.665182829</v>
      </c>
      <c r="AO8" s="525">
        <f t="shared" si="12"/>
        <v>10737744.41860497</v>
      </c>
      <c r="AP8" s="525">
        <f t="shared" si="12"/>
        <v>10737744.41860497</v>
      </c>
      <c r="AQ8" s="525">
        <f t="shared" si="12"/>
        <v>10771078.172026992</v>
      </c>
      <c r="AR8" s="525">
        <f t="shared" si="12"/>
        <v>10804411.925449133</v>
      </c>
      <c r="AS8" s="525">
        <f t="shared" si="12"/>
        <v>10837745.678871274</v>
      </c>
      <c r="AT8" s="525">
        <f t="shared" si="12"/>
        <v>10837745.678871274</v>
      </c>
      <c r="AU8" s="525">
        <f t="shared" si="12"/>
        <v>10871079.432293296</v>
      </c>
      <c r="AV8" s="525">
        <f t="shared" si="12"/>
        <v>10904413.185715318</v>
      </c>
      <c r="AW8" s="525">
        <f t="shared" si="12"/>
        <v>10937746.939137459</v>
      </c>
      <c r="AX8" s="525">
        <f t="shared" si="12"/>
        <v>11187952.5060213</v>
      </c>
      <c r="AY8" s="525">
        <f t="shared" si="12"/>
        <v>11187952.5060213</v>
      </c>
      <c r="AZ8" s="525">
        <f t="shared" si="12"/>
        <v>10510982.9376828</v>
      </c>
      <c r="BA8" s="525">
        <f t="shared" si="12"/>
        <v>11197347.0664421</v>
      </c>
      <c r="BB8" s="525">
        <f t="shared" si="12"/>
        <v>11329293.209535001</v>
      </c>
      <c r="BC8" s="525">
        <f t="shared" si="12"/>
        <v>11329293.209535001</v>
      </c>
      <c r="BD8" s="525">
        <f t="shared" si="12"/>
        <v>11436508.9367285</v>
      </c>
      <c r="BE8" s="525">
        <f t="shared" si="12"/>
        <v>10967460.088831799</v>
      </c>
      <c r="BF8" s="525">
        <f t="shared" si="12"/>
        <v>11472925.815894701</v>
      </c>
      <c r="BG8" s="525">
        <f t="shared" si="12"/>
        <v>11472925.815894701</v>
      </c>
      <c r="BH8" s="525">
        <f t="shared" si="12"/>
        <v>11481066.0780765</v>
      </c>
      <c r="BI8" s="525">
        <f t="shared" si="12"/>
        <v>11001088.059449701</v>
      </c>
      <c r="BJ8" s="525">
        <f t="shared" si="12"/>
        <v>11543617.9398701</v>
      </c>
      <c r="BK8" s="525">
        <f t="shared" si="12"/>
        <v>11543617.9398701</v>
      </c>
      <c r="BL8" s="525">
        <f t="shared" si="12"/>
        <v>10991532.5351297</v>
      </c>
      <c r="BM8" s="525">
        <f t="shared" si="12"/>
        <v>11280185.896237999</v>
      </c>
      <c r="BN8" s="525">
        <f t="shared" si="12"/>
        <v>11220459.762238801</v>
      </c>
      <c r="BO8" s="525">
        <f t="shared" ref="BO8:DZ8" si="13">INDEX($H$4:$JK$4,MATCH(BO$12,$H$3:$JK$3,1))</f>
        <v>11220459.762238801</v>
      </c>
      <c r="BP8" s="525">
        <f t="shared" si="13"/>
        <v>10487433.1891897</v>
      </c>
      <c r="BQ8" s="525">
        <f t="shared" si="13"/>
        <v>11316407.568479801</v>
      </c>
      <c r="BR8" s="525">
        <f t="shared" si="13"/>
        <v>11258365.617278</v>
      </c>
      <c r="BS8" s="525">
        <f t="shared" si="13"/>
        <v>11258365.617278</v>
      </c>
      <c r="BT8" s="525">
        <f t="shared" si="13"/>
        <v>11510764.452086199</v>
      </c>
      <c r="BU8" s="525">
        <f t="shared" si="13"/>
        <v>11346387.306830101</v>
      </c>
      <c r="BV8" s="525">
        <f t="shared" si="13"/>
        <v>11669556.5244481</v>
      </c>
      <c r="BW8" s="525">
        <f t="shared" si="13"/>
        <v>11669556.5244481</v>
      </c>
      <c r="BX8" s="525">
        <f t="shared" si="13"/>
        <v>11669255.790466901</v>
      </c>
      <c r="BY8" s="525">
        <f t="shared" si="13"/>
        <v>11606104.5030607</v>
      </c>
      <c r="BZ8" s="525">
        <f t="shared" si="13"/>
        <v>12074665.704574</v>
      </c>
      <c r="CA8" s="525">
        <f t="shared" si="13"/>
        <v>12074665.704574</v>
      </c>
      <c r="CB8" s="525">
        <f t="shared" si="13"/>
        <v>11324717.478053899</v>
      </c>
      <c r="CC8" s="525">
        <f t="shared" si="13"/>
        <v>11931646.6977094</v>
      </c>
      <c r="CD8" s="525">
        <f t="shared" si="13"/>
        <v>11699746.752971301</v>
      </c>
      <c r="CE8" s="525">
        <f t="shared" si="13"/>
        <v>11699746.752971301</v>
      </c>
      <c r="CF8" s="525">
        <f t="shared" si="13"/>
        <v>11307837.5473786</v>
      </c>
      <c r="CG8" s="525">
        <f t="shared" si="13"/>
        <v>12223454.194114201</v>
      </c>
      <c r="CH8" s="525">
        <f t="shared" si="13"/>
        <v>11927089.760556201</v>
      </c>
      <c r="CI8" s="525">
        <f t="shared" si="13"/>
        <v>11927089.760556201</v>
      </c>
      <c r="CJ8" s="525">
        <f t="shared" si="13"/>
        <v>11797530.9522589</v>
      </c>
      <c r="CK8" s="525">
        <f t="shared" si="13"/>
        <v>12169314.378616</v>
      </c>
      <c r="CL8" s="525">
        <f t="shared" si="13"/>
        <v>12221236.976350799</v>
      </c>
      <c r="CM8" s="525">
        <f t="shared" si="13"/>
        <v>12221236.976350799</v>
      </c>
      <c r="CN8" s="525">
        <f t="shared" si="13"/>
        <v>12409746.7169121</v>
      </c>
      <c r="CO8" s="525">
        <f t="shared" si="13"/>
        <v>12125991.0555791</v>
      </c>
      <c r="CP8" s="525">
        <f t="shared" si="13"/>
        <v>12272992.3121698</v>
      </c>
      <c r="CQ8" s="525">
        <f t="shared" si="13"/>
        <v>12272992.3121698</v>
      </c>
      <c r="CR8" s="525">
        <f t="shared" si="13"/>
        <v>12184447.4906117</v>
      </c>
      <c r="CS8" s="525">
        <f t="shared" si="13"/>
        <v>12461188.9084298</v>
      </c>
      <c r="CT8" s="525">
        <f t="shared" si="13"/>
        <v>12247309.8125429</v>
      </c>
      <c r="CU8" s="525">
        <f t="shared" si="13"/>
        <v>12247309.8125429</v>
      </c>
      <c r="CV8" s="525">
        <f t="shared" si="13"/>
        <v>11787983.3784375</v>
      </c>
      <c r="CW8" s="525">
        <f t="shared" si="13"/>
        <v>12751312.9154427</v>
      </c>
      <c r="CX8" s="525">
        <f t="shared" si="13"/>
        <v>12216534.209853999</v>
      </c>
      <c r="CY8" s="525">
        <f t="shared" si="13"/>
        <v>12216534.209853999</v>
      </c>
      <c r="CZ8" s="525">
        <f t="shared" si="13"/>
        <v>12372077.228078701</v>
      </c>
      <c r="DA8" s="525">
        <f t="shared" si="13"/>
        <v>12536791.315885801</v>
      </c>
      <c r="DB8" s="525">
        <f t="shared" si="13"/>
        <v>12273714.7695227</v>
      </c>
      <c r="DC8" s="525">
        <f t="shared" si="13"/>
        <v>12273714.7695227</v>
      </c>
      <c r="DD8" s="525">
        <f t="shared" si="13"/>
        <v>12512081.3801172</v>
      </c>
      <c r="DE8" s="525">
        <f t="shared" si="13"/>
        <v>12134174.938840499</v>
      </c>
      <c r="DF8" s="525">
        <f t="shared" si="13"/>
        <v>12205868.9936406</v>
      </c>
      <c r="DG8" s="525">
        <f t="shared" si="13"/>
        <v>12205868.9936406</v>
      </c>
      <c r="DH8" s="525">
        <f t="shared" si="13"/>
        <v>12125538.391852699</v>
      </c>
      <c r="DI8" s="525">
        <f t="shared" si="13"/>
        <v>12432657.058496401</v>
      </c>
      <c r="DJ8" s="525">
        <f t="shared" si="13"/>
        <v>13288463.991721001</v>
      </c>
      <c r="DK8" s="525">
        <f t="shared" si="13"/>
        <v>13288463.991721001</v>
      </c>
      <c r="DL8" s="525">
        <f t="shared" si="13"/>
        <v>12570583.021366401</v>
      </c>
      <c r="DM8" s="525">
        <f t="shared" si="13"/>
        <v>13839361.860235799</v>
      </c>
      <c r="DN8" s="525">
        <f t="shared" si="13"/>
        <v>12968536.023</v>
      </c>
      <c r="DO8" s="525">
        <f t="shared" si="13"/>
        <v>12968536.023</v>
      </c>
      <c r="DP8" s="525">
        <f t="shared" si="13"/>
        <v>13790582.7906757</v>
      </c>
      <c r="DQ8" s="525">
        <f t="shared" si="13"/>
        <v>13644398.611530701</v>
      </c>
      <c r="DR8" s="525">
        <f t="shared" si="13"/>
        <v>13380531.169492999</v>
      </c>
      <c r="DS8" s="525">
        <f t="shared" si="13"/>
        <v>13380531.169492999</v>
      </c>
      <c r="DT8" s="525">
        <f t="shared" si="13"/>
        <v>14077200.8286297</v>
      </c>
      <c r="DU8" s="525">
        <f t="shared" si="13"/>
        <v>13437094.656443199</v>
      </c>
      <c r="DV8" s="525">
        <f t="shared" si="13"/>
        <v>13747738.965964099</v>
      </c>
      <c r="DW8" s="525">
        <f t="shared" si="13"/>
        <v>13747738.965964099</v>
      </c>
      <c r="DX8" s="525">
        <f t="shared" si="13"/>
        <v>13533884.0456562</v>
      </c>
      <c r="DY8" s="525">
        <f t="shared" si="13"/>
        <v>13506787.3930212</v>
      </c>
      <c r="DZ8" s="525">
        <f t="shared" si="13"/>
        <v>13970490.611140899</v>
      </c>
      <c r="EA8" s="525">
        <f t="shared" ref="EA8:GL8" si="14">INDEX($H$4:$JK$4,MATCH(EA$12,$H$3:$JK$3,1))</f>
        <v>13970490.611140899</v>
      </c>
      <c r="EB8" s="525">
        <f t="shared" si="14"/>
        <v>12940909.984064501</v>
      </c>
      <c r="EC8" s="525">
        <f t="shared" si="14"/>
        <v>14211347.4762586</v>
      </c>
      <c r="ED8" s="525">
        <f t="shared" si="14"/>
        <v>13740119.315105001</v>
      </c>
      <c r="EE8" s="525">
        <f t="shared" si="14"/>
        <v>13740119.315105001</v>
      </c>
      <c r="EF8" s="525">
        <f t="shared" si="14"/>
        <v>14275171.289922699</v>
      </c>
      <c r="EG8" s="525">
        <f t="shared" si="14"/>
        <v>13968509.550695101</v>
      </c>
      <c r="EH8" s="525">
        <f t="shared" si="14"/>
        <v>14158976.8087206</v>
      </c>
      <c r="EI8" s="525">
        <f t="shared" si="14"/>
        <v>14158976.8087206</v>
      </c>
      <c r="EJ8" s="525">
        <f t="shared" si="14"/>
        <v>14578787.4782279</v>
      </c>
      <c r="EK8" s="525">
        <f t="shared" si="14"/>
        <v>13546101.472951399</v>
      </c>
      <c r="EL8" s="525">
        <f t="shared" si="14"/>
        <v>14465511.6140793</v>
      </c>
      <c r="EM8" s="525">
        <f t="shared" si="14"/>
        <v>14465511.6140793</v>
      </c>
      <c r="EN8" s="525">
        <f t="shared" si="14"/>
        <v>13969161.306947101</v>
      </c>
      <c r="EO8" s="525">
        <f t="shared" si="14"/>
        <v>13822520.9488724</v>
      </c>
      <c r="EP8" s="525">
        <f t="shared" si="14"/>
        <v>14511493.9864769</v>
      </c>
      <c r="EQ8" s="525">
        <f t="shared" si="14"/>
        <v>14511493.9864769</v>
      </c>
      <c r="ER8" s="525">
        <f t="shared" si="14"/>
        <v>14004546.7377533</v>
      </c>
      <c r="ES8" s="525">
        <f t="shared" si="14"/>
        <v>14342379.424790701</v>
      </c>
      <c r="ET8" s="525">
        <f t="shared" si="14"/>
        <v>14415160.316734601</v>
      </c>
      <c r="EU8" s="525">
        <f t="shared" si="14"/>
        <v>14415160.316734601</v>
      </c>
      <c r="EV8" s="525">
        <f t="shared" si="14"/>
        <v>14552518.0448786</v>
      </c>
      <c r="EW8" s="525">
        <f t="shared" si="14"/>
        <v>14186353.3925563</v>
      </c>
      <c r="EX8" s="525">
        <f t="shared" si="14"/>
        <v>14855188.653768601</v>
      </c>
      <c r="EY8" s="525">
        <f t="shared" si="14"/>
        <v>14855188.653768601</v>
      </c>
      <c r="EZ8" s="525">
        <f t="shared" si="14"/>
        <v>14537076.8300195</v>
      </c>
      <c r="FA8" s="525">
        <f t="shared" si="14"/>
        <v>14371900.5928143</v>
      </c>
      <c r="FB8" s="525">
        <f t="shared" si="14"/>
        <v>14838537.6173438</v>
      </c>
      <c r="FC8" s="525">
        <f t="shared" si="14"/>
        <v>14838537.6173438</v>
      </c>
      <c r="FD8" s="525">
        <f t="shared" si="14"/>
        <v>13863330.823666999</v>
      </c>
      <c r="FE8" s="525">
        <f t="shared" si="14"/>
        <v>14742784.647249799</v>
      </c>
      <c r="FF8" s="525">
        <f t="shared" si="14"/>
        <v>14757534.5842357</v>
      </c>
      <c r="FG8" s="525">
        <f t="shared" si="14"/>
        <v>14757534.5842357</v>
      </c>
      <c r="FH8" s="525">
        <f t="shared" si="14"/>
        <v>14142537.7155865</v>
      </c>
      <c r="FI8" s="525">
        <f t="shared" si="14"/>
        <v>15193720.490542499</v>
      </c>
      <c r="FJ8" s="525">
        <f t="shared" si="14"/>
        <v>15065566.726024101</v>
      </c>
      <c r="FK8" s="525">
        <f t="shared" si="14"/>
        <v>15065566.726024101</v>
      </c>
      <c r="FL8" s="525">
        <f t="shared" si="14"/>
        <v>14921402.4081145</v>
      </c>
      <c r="FM8" s="525">
        <f t="shared" si="14"/>
        <v>15065512.4372855</v>
      </c>
      <c r="FN8" s="525">
        <f t="shared" si="14"/>
        <v>15108624.5288605</v>
      </c>
      <c r="FO8" s="525">
        <f t="shared" si="14"/>
        <v>15108624.5288605</v>
      </c>
      <c r="FP8" s="525">
        <f t="shared" si="14"/>
        <v>14719802.710105199</v>
      </c>
      <c r="FQ8" s="525">
        <f t="shared" si="14"/>
        <v>14748794.362054899</v>
      </c>
      <c r="FR8" s="525">
        <f t="shared" si="14"/>
        <v>14917168.746628899</v>
      </c>
      <c r="FS8" s="525">
        <f t="shared" si="14"/>
        <v>14917168.746628899</v>
      </c>
      <c r="FT8" s="525">
        <f t="shared" si="14"/>
        <v>14329638.5745703</v>
      </c>
      <c r="FU8" s="525">
        <f t="shared" si="14"/>
        <v>15223904.144719301</v>
      </c>
      <c r="FV8" s="525">
        <f t="shared" si="14"/>
        <v>14733264.3818291</v>
      </c>
      <c r="FW8" s="525">
        <f t="shared" si="14"/>
        <v>14733264.3818291</v>
      </c>
      <c r="FX8" s="525">
        <f t="shared" si="14"/>
        <v>14244692.8244504</v>
      </c>
      <c r="FY8" s="525">
        <f t="shared" si="14"/>
        <v>15867048.421584601</v>
      </c>
      <c r="FZ8" s="525">
        <f t="shared" si="14"/>
        <v>15344531.574398801</v>
      </c>
      <c r="GA8" s="525">
        <f t="shared" si="14"/>
        <v>15344531.574398801</v>
      </c>
      <c r="GB8" s="525">
        <f t="shared" si="14"/>
        <v>15177377.660721799</v>
      </c>
      <c r="GC8" s="525">
        <f t="shared" si="14"/>
        <v>15730781.4151401</v>
      </c>
      <c r="GD8" s="525">
        <f t="shared" si="14"/>
        <v>15595303.495380901</v>
      </c>
      <c r="GE8" s="525">
        <f t="shared" si="14"/>
        <v>15595303.495380901</v>
      </c>
      <c r="GF8" s="525">
        <f t="shared" si="14"/>
        <v>15803091.0318415</v>
      </c>
      <c r="GG8" s="525">
        <f t="shared" si="14"/>
        <v>15462162.178659599</v>
      </c>
      <c r="GH8" s="525">
        <f t="shared" si="14"/>
        <v>15438569.721162399</v>
      </c>
      <c r="GI8" s="525">
        <f t="shared" si="14"/>
        <v>15438569.721162399</v>
      </c>
      <c r="GJ8" s="525">
        <f t="shared" si="14"/>
        <v>15395279.890490901</v>
      </c>
      <c r="GK8" s="525">
        <f t="shared" si="14"/>
        <v>15651243.981065201</v>
      </c>
      <c r="GL8" s="525">
        <f t="shared" si="14"/>
        <v>15259035.664322799</v>
      </c>
      <c r="GM8" s="525">
        <f t="shared" ref="GM8:IX8" si="15">INDEX($H$4:$JK$4,MATCH(GM$12,$H$3:$JK$3,1))</f>
        <v>15259035.664322799</v>
      </c>
      <c r="GN8" s="525">
        <f t="shared" si="15"/>
        <v>14702805.8609265</v>
      </c>
      <c r="GO8" s="525">
        <f t="shared" si="15"/>
        <v>16158413.4639282</v>
      </c>
      <c r="GP8" s="525">
        <f t="shared" si="15"/>
        <v>15303334.188647401</v>
      </c>
      <c r="GQ8" s="525">
        <f t="shared" si="15"/>
        <v>15303334.188647401</v>
      </c>
      <c r="GR8" s="525">
        <f t="shared" si="15"/>
        <v>15646169.926116399</v>
      </c>
      <c r="GS8" s="525">
        <f t="shared" si="15"/>
        <v>15814728.5756664</v>
      </c>
      <c r="GT8" s="525">
        <f t="shared" si="15"/>
        <v>15371781.0734597</v>
      </c>
      <c r="GU8" s="525">
        <f t="shared" si="15"/>
        <v>15371781.0734597</v>
      </c>
      <c r="GV8" s="525">
        <f t="shared" si="15"/>
        <v>16166062.140657101</v>
      </c>
      <c r="GW8" s="525">
        <f t="shared" si="15"/>
        <v>15563479.716422901</v>
      </c>
      <c r="GX8" s="525">
        <f t="shared" si="15"/>
        <v>15451637.318344001</v>
      </c>
      <c r="GY8" s="525">
        <f t="shared" si="15"/>
        <v>15451637.318344001</v>
      </c>
      <c r="GZ8" s="525">
        <f t="shared" si="15"/>
        <v>15555966.0913914</v>
      </c>
      <c r="HA8" s="525">
        <f t="shared" si="15"/>
        <v>15641147.0770567</v>
      </c>
      <c r="HB8" s="525">
        <f t="shared" si="15"/>
        <v>15963360.4360372</v>
      </c>
      <c r="HC8" s="525">
        <f t="shared" si="15"/>
        <v>15963360.4360372</v>
      </c>
      <c r="HD8" s="525">
        <f t="shared" si="15"/>
        <v>15608501.642578799</v>
      </c>
      <c r="HE8" s="525">
        <f t="shared" si="15"/>
        <v>16375755.7861742</v>
      </c>
      <c r="HF8" s="525">
        <f t="shared" si="15"/>
        <v>15799406.194172701</v>
      </c>
      <c r="HG8" s="525">
        <f t="shared" si="15"/>
        <v>15799406.194172701</v>
      </c>
      <c r="HH8" s="525">
        <f t="shared" si="15"/>
        <v>16293127.1115875</v>
      </c>
      <c r="HI8" s="525">
        <f t="shared" si="15"/>
        <v>15930813.856041299</v>
      </c>
      <c r="HJ8" s="525">
        <f t="shared" si="15"/>
        <v>16007222.0467753</v>
      </c>
      <c r="HK8" s="525">
        <f t="shared" si="15"/>
        <v>16007222.0467753</v>
      </c>
      <c r="HL8" s="525">
        <f t="shared" si="15"/>
        <v>16473057.445722099</v>
      </c>
      <c r="HM8" s="525">
        <f t="shared" si="15"/>
        <v>15374857.8581979</v>
      </c>
      <c r="HN8" s="525">
        <f t="shared" si="15"/>
        <v>16321722.7455959</v>
      </c>
      <c r="HO8" s="525">
        <f t="shared" si="15"/>
        <v>16321722.7455959</v>
      </c>
      <c r="HP8" s="525">
        <f t="shared" si="15"/>
        <v>15831430.3953925</v>
      </c>
      <c r="HQ8" s="525">
        <f t="shared" si="15"/>
        <v>15674188.486771399</v>
      </c>
      <c r="HR8" s="525">
        <f t="shared" si="15"/>
        <v>15870272.5331492</v>
      </c>
      <c r="HS8" s="525">
        <f t="shared" si="15"/>
        <v>15870272.5331492</v>
      </c>
      <c r="HT8" s="525">
        <f t="shared" si="15"/>
        <v>14735609.0856582</v>
      </c>
      <c r="HU8" s="525">
        <f t="shared" si="15"/>
        <v>15525360.044725699</v>
      </c>
      <c r="HV8" s="525">
        <f t="shared" si="15"/>
        <v>15605968.985522101</v>
      </c>
      <c r="HW8" s="525">
        <f t="shared" si="15"/>
        <v>15605968.985522101</v>
      </c>
      <c r="HX8" s="525">
        <f t="shared" si="15"/>
        <v>15739116.175051801</v>
      </c>
      <c r="HY8" s="525">
        <f t="shared" si="15"/>
        <v>15130783.526475901</v>
      </c>
      <c r="HZ8" s="525">
        <f t="shared" si="15"/>
        <v>15774143.280611601</v>
      </c>
      <c r="IA8" s="525">
        <f t="shared" si="15"/>
        <v>15774143.280611601</v>
      </c>
      <c r="IB8" s="525">
        <f t="shared" si="15"/>
        <v>15707002.534168901</v>
      </c>
      <c r="IC8" s="525">
        <f t="shared" si="15"/>
        <v>15073727.2909481</v>
      </c>
      <c r="ID8" s="525">
        <f t="shared" si="15"/>
        <v>15870638.740080399</v>
      </c>
      <c r="IE8" s="525">
        <f t="shared" si="15"/>
        <v>15870638.740080399</v>
      </c>
      <c r="IF8" s="525">
        <f t="shared" si="15"/>
        <v>15037911.855670501</v>
      </c>
      <c r="IG8" s="525">
        <f t="shared" si="15"/>
        <v>15578002.3916457</v>
      </c>
      <c r="IH8" s="525">
        <f t="shared" si="15"/>
        <v>15361759.172958801</v>
      </c>
      <c r="II8" s="525">
        <f t="shared" si="15"/>
        <v>15361759.172958801</v>
      </c>
      <c r="IJ8" s="525">
        <f t="shared" si="15"/>
        <v>14504632.1781167</v>
      </c>
      <c r="IK8" s="525">
        <f t="shared" si="15"/>
        <v>15381561.145170201</v>
      </c>
      <c r="IL8" s="525">
        <f t="shared" si="15"/>
        <v>15428564.1117409</v>
      </c>
      <c r="IM8" s="525">
        <f t="shared" si="15"/>
        <v>15428564.1117409</v>
      </c>
      <c r="IN8" s="525">
        <f t="shared" si="15"/>
        <v>15557460.063814299</v>
      </c>
      <c r="IO8" s="525">
        <f t="shared" si="15"/>
        <v>15351093.290921999</v>
      </c>
      <c r="IP8" s="525">
        <f t="shared" si="15"/>
        <v>15867550.041472699</v>
      </c>
      <c r="IQ8" s="525">
        <f t="shared" si="15"/>
        <v>15867550.041472699</v>
      </c>
      <c r="IR8" s="525">
        <f t="shared" si="15"/>
        <v>15409806.232143801</v>
      </c>
      <c r="IS8" s="525">
        <f t="shared" si="15"/>
        <v>15207511.075762</v>
      </c>
      <c r="IT8" s="525">
        <f t="shared" si="15"/>
        <v>15111965.0385019</v>
      </c>
      <c r="IU8" s="525">
        <f t="shared" si="15"/>
        <v>15111965.0385019</v>
      </c>
      <c r="IV8" s="525">
        <f t="shared" si="15"/>
        <v>13968289.129042801</v>
      </c>
      <c r="IW8" s="525">
        <f t="shared" si="15"/>
        <v>15131263.3086602</v>
      </c>
      <c r="IX8" s="525">
        <f t="shared" si="15"/>
        <v>14541185.516484501</v>
      </c>
      <c r="IY8" s="525">
        <f t="shared" ref="IY8:LJ8" si="16">INDEX($H$4:$JK$4,MATCH(IY$12,$H$3:$JK$3,1))</f>
        <v>14541185.516484501</v>
      </c>
      <c r="IZ8" s="525">
        <f t="shared" si="16"/>
        <v>13647548.997731</v>
      </c>
      <c r="JA8" s="525">
        <f t="shared" si="16"/>
        <v>14788686.666591801</v>
      </c>
      <c r="JB8" s="525">
        <f t="shared" si="16"/>
        <v>14652116.0780965</v>
      </c>
      <c r="JC8" s="525">
        <f t="shared" si="16"/>
        <v>14652116.0780965</v>
      </c>
      <c r="JD8" s="525">
        <f t="shared" si="16"/>
        <v>14436651.4772732</v>
      </c>
      <c r="JE8" s="525">
        <f t="shared" si="16"/>
        <v>14740728.9152583</v>
      </c>
      <c r="JF8" s="525">
        <f t="shared" si="16"/>
        <v>14924629.147068501</v>
      </c>
      <c r="JG8" s="525">
        <f t="shared" si="16"/>
        <v>14924629.147068501</v>
      </c>
      <c r="JH8" s="525">
        <f t="shared" si="16"/>
        <v>14528750.8789206</v>
      </c>
      <c r="JI8" s="525">
        <f t="shared" si="16"/>
        <v>14422116.0678641</v>
      </c>
      <c r="JJ8" s="525">
        <f t="shared" si="16"/>
        <v>14696683.807185199</v>
      </c>
      <c r="JK8" s="525">
        <f t="shared" si="16"/>
        <v>14696683.807185199</v>
      </c>
      <c r="JL8" s="525">
        <f t="shared" si="16"/>
        <v>13986016.5774465</v>
      </c>
      <c r="JM8" s="525">
        <f t="shared" si="16"/>
        <v>14850127.134493699</v>
      </c>
      <c r="JN8" s="525">
        <f t="shared" si="16"/>
        <v>14105163.945302401</v>
      </c>
      <c r="JO8" s="525">
        <f t="shared" si="16"/>
        <v>14105163.945302401</v>
      </c>
      <c r="JP8" s="525">
        <f t="shared" si="16"/>
        <v>13977058.1187506</v>
      </c>
      <c r="JQ8" s="525">
        <f t="shared" si="16"/>
        <v>14642351.330147</v>
      </c>
      <c r="JR8" s="525">
        <f t="shared" si="16"/>
        <v>13951451.262310499</v>
      </c>
      <c r="JS8" s="525">
        <f t="shared" si="16"/>
        <v>13951451.262310499</v>
      </c>
      <c r="JT8" s="525">
        <f t="shared" si="16"/>
        <v>13910719.6020991</v>
      </c>
      <c r="JU8" s="525">
        <f t="shared" si="16"/>
        <v>14008332.9892834</v>
      </c>
      <c r="JV8" s="525">
        <f t="shared" si="16"/>
        <v>13631697.938761299</v>
      </c>
      <c r="JW8" s="525">
        <f t="shared" si="16"/>
        <v>13631697.938761299</v>
      </c>
      <c r="JX8" s="525">
        <f t="shared" si="16"/>
        <v>14186401.822714901</v>
      </c>
      <c r="JY8" s="525">
        <f t="shared" si="16"/>
        <v>13605432.871536201</v>
      </c>
      <c r="JZ8" s="525">
        <f t="shared" si="16"/>
        <v>13537226.7476057</v>
      </c>
      <c r="KA8" s="525">
        <f t="shared" si="16"/>
        <v>13537226.7476057</v>
      </c>
      <c r="KB8" s="525">
        <f t="shared" si="16"/>
        <v>13485283.461153001</v>
      </c>
      <c r="KC8" s="525">
        <f t="shared" si="16"/>
        <v>13767460.058963601</v>
      </c>
      <c r="KD8" s="525">
        <f t="shared" si="16"/>
        <v>13198498.618202001</v>
      </c>
      <c r="KE8" s="525">
        <f t="shared" si="16"/>
        <v>13198498.618202001</v>
      </c>
      <c r="KF8" s="525">
        <f t="shared" si="16"/>
        <v>12451260.8848815</v>
      </c>
      <c r="KG8" s="525">
        <f t="shared" si="16"/>
        <v>13538649.0804347</v>
      </c>
      <c r="KH8" s="525">
        <f t="shared" si="16"/>
        <v>12565129.514038</v>
      </c>
      <c r="KI8" s="525">
        <f t="shared" si="16"/>
        <v>12565129.514038</v>
      </c>
      <c r="KJ8" s="525">
        <f t="shared" si="16"/>
        <v>13058211.457840599</v>
      </c>
      <c r="KK8" s="525">
        <f t="shared" si="16"/>
        <v>12940106.812860999</v>
      </c>
      <c r="KL8" s="525">
        <f t="shared" si="16"/>
        <v>12381472.986002499</v>
      </c>
      <c r="KM8" s="525">
        <f t="shared" si="16"/>
        <v>12381472.986002499</v>
      </c>
      <c r="KN8" s="525">
        <f t="shared" si="16"/>
        <v>12770130.1316435</v>
      </c>
      <c r="KO8" s="525">
        <f t="shared" si="16"/>
        <v>12078991.139681799</v>
      </c>
      <c r="KP8" s="525">
        <f t="shared" si="16"/>
        <v>12349572.7701951</v>
      </c>
      <c r="KQ8" s="525">
        <f t="shared" si="16"/>
        <v>12349572.7701951</v>
      </c>
      <c r="KR8" s="525">
        <f t="shared" si="16"/>
        <v>11964422.7690276</v>
      </c>
      <c r="KS8" s="525">
        <f t="shared" si="16"/>
        <v>12001937.8532982</v>
      </c>
      <c r="KT8" s="525">
        <f t="shared" si="16"/>
        <v>11860175.4932274</v>
      </c>
      <c r="KU8" s="525">
        <f t="shared" si="16"/>
        <v>11860175.4932274</v>
      </c>
      <c r="KV8" s="525">
        <f t="shared" si="16"/>
        <v>10995791.3589007</v>
      </c>
      <c r="KW8" s="525">
        <f t="shared" si="16"/>
        <v>11732706.896926301</v>
      </c>
      <c r="KX8" s="525">
        <f t="shared" si="16"/>
        <v>11349352.481164001</v>
      </c>
      <c r="KY8" s="525">
        <f t="shared" si="16"/>
        <v>11349352.481164001</v>
      </c>
      <c r="KZ8" s="525">
        <f t="shared" si="16"/>
        <v>11646008.3675086</v>
      </c>
      <c r="LA8" s="525">
        <f t="shared" si="16"/>
        <v>11283967.2341756</v>
      </c>
      <c r="LB8" s="525">
        <f t="shared" si="16"/>
        <v>11119440.638694201</v>
      </c>
      <c r="LC8" s="525">
        <f t="shared" si="16"/>
        <v>11119440.638694201</v>
      </c>
      <c r="LD8" s="525">
        <f t="shared" si="16"/>
        <v>11415288.2269386</v>
      </c>
      <c r="LE8" s="525">
        <f t="shared" si="16"/>
        <v>10530877.8479732</v>
      </c>
      <c r="LF8" s="525">
        <f t="shared" si="16"/>
        <v>11103312.648858201</v>
      </c>
      <c r="LG8" s="525">
        <f t="shared" si="16"/>
        <v>11103312.648858201</v>
      </c>
      <c r="LH8" s="525">
        <f t="shared" si="16"/>
        <v>10718454.4252236</v>
      </c>
      <c r="LI8" s="525">
        <f t="shared" si="16"/>
        <v>10590883.649802901</v>
      </c>
      <c r="LJ8" s="525">
        <f t="shared" si="16"/>
        <v>10707812.282809099</v>
      </c>
      <c r="LK8" s="525">
        <f t="shared" ref="LK8:MP8" si="17">INDEX($H$4:$JK$4,MATCH(LK$12,$H$3:$JK$3,1))</f>
        <v>10707812.282809099</v>
      </c>
      <c r="LL8" s="525">
        <f t="shared" si="17"/>
        <v>10002654.8391032</v>
      </c>
      <c r="LM8" s="525">
        <f t="shared" si="17"/>
        <v>10629472.530809101</v>
      </c>
      <c r="LN8" s="525">
        <f t="shared" si="17"/>
        <v>10481340.040472999</v>
      </c>
      <c r="LO8" s="525">
        <f t="shared" si="17"/>
        <v>10481340.040472999</v>
      </c>
      <c r="LP8" s="525">
        <f t="shared" si="17"/>
        <v>10607337.146670099</v>
      </c>
      <c r="LQ8" s="525">
        <f t="shared" si="17"/>
        <v>10109040.851751801</v>
      </c>
      <c r="LR8" s="525">
        <f t="shared" si="17"/>
        <v>10431971.5618407</v>
      </c>
      <c r="LS8" s="525">
        <f t="shared" si="17"/>
        <v>10431971.5618407</v>
      </c>
      <c r="LT8" s="525">
        <f t="shared" si="17"/>
        <v>10440657.4966489</v>
      </c>
      <c r="LU8" s="525">
        <f t="shared" si="17"/>
        <v>9830478.8814189993</v>
      </c>
      <c r="LV8" s="525">
        <f t="shared" si="17"/>
        <v>10354900.769029001</v>
      </c>
      <c r="LW8" s="525">
        <f t="shared" si="17"/>
        <v>10354900.769029001</v>
      </c>
      <c r="LX8" s="525">
        <f t="shared" si="17"/>
        <v>9780370.9744267594</v>
      </c>
      <c r="LY8" s="525">
        <f t="shared" si="17"/>
        <v>10102643.396221999</v>
      </c>
      <c r="LZ8" s="525">
        <f t="shared" si="17"/>
        <v>10003362.516647501</v>
      </c>
      <c r="MA8" s="525">
        <f t="shared" si="17"/>
        <v>10003362.516647501</v>
      </c>
      <c r="MB8" s="525">
        <f t="shared" si="17"/>
        <v>9461095.0853907801</v>
      </c>
      <c r="MC8" s="525">
        <f t="shared" si="17"/>
        <v>9449334.9755158592</v>
      </c>
      <c r="MD8" s="525">
        <f t="shared" si="17"/>
        <v>8306440.3417589301</v>
      </c>
      <c r="ME8" s="525">
        <f t="shared" si="17"/>
        <v>8306440.3417589301</v>
      </c>
      <c r="MF8" s="525">
        <f t="shared" si="17"/>
        <v>9185204.33418574</v>
      </c>
      <c r="MG8" s="525">
        <f t="shared" si="17"/>
        <v>9850061.9279911593</v>
      </c>
      <c r="MH8" s="525">
        <f t="shared" si="17"/>
        <v>10016054.9283482</v>
      </c>
      <c r="MI8" s="525">
        <f t="shared" si="17"/>
        <v>10016054.9283482</v>
      </c>
      <c r="MJ8" s="525">
        <f t="shared" si="17"/>
        <v>9727640.8265188709</v>
      </c>
      <c r="MK8" s="525">
        <f t="shared" si="17"/>
        <v>9686325.0823217202</v>
      </c>
      <c r="ML8" s="525">
        <f t="shared" si="17"/>
        <v>9923355.9601482507</v>
      </c>
      <c r="MM8" s="525">
        <f t="shared" si="17"/>
        <v>9923355.9601482507</v>
      </c>
      <c r="MN8" s="525">
        <f t="shared" si="17"/>
        <v>9303801.0804188102</v>
      </c>
      <c r="MO8" s="525">
        <f t="shared" si="17"/>
        <v>9810222.3616666701</v>
      </c>
      <c r="MP8" s="525">
        <f t="shared" si="17"/>
        <v>9810222.3616666701</v>
      </c>
    </row>
    <row r="9" spans="1:354" x14ac:dyDescent="0.25">
      <c r="A9" s="525" t="s">
        <v>54</v>
      </c>
      <c r="B9" s="525">
        <f>INDEX($H$4:$JK$4,MATCH(B$12,$H$3:$JK$3,1)+1)</f>
        <v>9804399.3227863312</v>
      </c>
      <c r="C9" s="525">
        <f t="shared" ref="C9:BN9" si="18">INDEX($H$4:$JK$4,MATCH(C$12,$H$3:$JK$3,1)+1)</f>
        <v>9804399.3227863312</v>
      </c>
      <c r="D9" s="525">
        <f t="shared" si="18"/>
        <v>9837733.0762084723</v>
      </c>
      <c r="E9" s="525">
        <f t="shared" si="18"/>
        <v>9871066.8296306133</v>
      </c>
      <c r="F9" s="525">
        <f t="shared" si="18"/>
        <v>9871066.8296306133</v>
      </c>
      <c r="G9" s="525">
        <f t="shared" si="18"/>
        <v>9904400.5830526352</v>
      </c>
      <c r="H9" s="525">
        <f t="shared" si="18"/>
        <v>9937734.3364746571</v>
      </c>
      <c r="I9" s="525">
        <f t="shared" si="18"/>
        <v>9971068.0898967981</v>
      </c>
      <c r="J9" s="525">
        <f t="shared" si="18"/>
        <v>9971068.0898967981</v>
      </c>
      <c r="K9" s="525">
        <f t="shared" si="18"/>
        <v>10004401.843318939</v>
      </c>
      <c r="L9" s="525">
        <f t="shared" si="18"/>
        <v>10037735.59674108</v>
      </c>
      <c r="M9" s="525">
        <f t="shared" si="18"/>
        <v>10071069.350163102</v>
      </c>
      <c r="N9" s="525">
        <f t="shared" si="18"/>
        <v>10071069.350163102</v>
      </c>
      <c r="O9" s="525">
        <f t="shared" si="18"/>
        <v>10104403.103585124</v>
      </c>
      <c r="P9" s="525">
        <f t="shared" si="18"/>
        <v>10137736.857007265</v>
      </c>
      <c r="Q9" s="525">
        <f t="shared" si="18"/>
        <v>10171070.610429406</v>
      </c>
      <c r="R9" s="525">
        <f t="shared" si="18"/>
        <v>10171070.610429406</v>
      </c>
      <c r="S9" s="525">
        <f t="shared" si="18"/>
        <v>10204404.363851428</v>
      </c>
      <c r="T9" s="525">
        <f t="shared" si="18"/>
        <v>10237738.117273569</v>
      </c>
      <c r="U9" s="525">
        <f t="shared" si="18"/>
        <v>10271071.87069571</v>
      </c>
      <c r="V9" s="525">
        <f t="shared" si="18"/>
        <v>10271071.87069571</v>
      </c>
      <c r="W9" s="525">
        <f t="shared" si="18"/>
        <v>10304405.624117732</v>
      </c>
      <c r="X9" s="525">
        <f t="shared" si="18"/>
        <v>10337739.377539754</v>
      </c>
      <c r="Y9" s="525">
        <f t="shared" si="18"/>
        <v>10371073.130961895</v>
      </c>
      <c r="Z9" s="525">
        <f t="shared" si="18"/>
        <v>10371073.130961895</v>
      </c>
      <c r="AA9" s="525">
        <f t="shared" si="18"/>
        <v>10404406.884384036</v>
      </c>
      <c r="AB9" s="525">
        <f t="shared" si="18"/>
        <v>10437740.637806177</v>
      </c>
      <c r="AC9" s="525">
        <f t="shared" si="18"/>
        <v>10471074.391228199</v>
      </c>
      <c r="AD9" s="525">
        <f t="shared" si="18"/>
        <v>10471074.391228199</v>
      </c>
      <c r="AE9" s="525">
        <f t="shared" si="18"/>
        <v>10504408.144650221</v>
      </c>
      <c r="AF9" s="525">
        <f t="shared" si="18"/>
        <v>10537741.898072362</v>
      </c>
      <c r="AG9" s="525">
        <f t="shared" si="18"/>
        <v>10571075.651494503</v>
      </c>
      <c r="AH9" s="525">
        <f t="shared" si="18"/>
        <v>10571075.651494503</v>
      </c>
      <c r="AI9" s="525">
        <f t="shared" si="18"/>
        <v>10604409.404916525</v>
      </c>
      <c r="AJ9" s="525">
        <f t="shared" si="18"/>
        <v>10637743.158338666</v>
      </c>
      <c r="AK9" s="525">
        <f t="shared" si="18"/>
        <v>10671076.911760807</v>
      </c>
      <c r="AL9" s="525">
        <f t="shared" si="18"/>
        <v>10671076.911760807</v>
      </c>
      <c r="AM9" s="525">
        <f t="shared" si="18"/>
        <v>10704410.665182829</v>
      </c>
      <c r="AN9" s="525">
        <f t="shared" si="18"/>
        <v>10737744.41860497</v>
      </c>
      <c r="AO9" s="525">
        <f t="shared" si="18"/>
        <v>10771078.172026992</v>
      </c>
      <c r="AP9" s="525">
        <f t="shared" si="18"/>
        <v>10771078.172026992</v>
      </c>
      <c r="AQ9" s="525">
        <f t="shared" si="18"/>
        <v>10804411.925449133</v>
      </c>
      <c r="AR9" s="525">
        <f t="shared" si="18"/>
        <v>10837745.678871274</v>
      </c>
      <c r="AS9" s="525">
        <f t="shared" si="18"/>
        <v>10871079.432293296</v>
      </c>
      <c r="AT9" s="525">
        <f t="shared" si="18"/>
        <v>10871079.432293296</v>
      </c>
      <c r="AU9" s="525">
        <f t="shared" si="18"/>
        <v>10904413.185715318</v>
      </c>
      <c r="AV9" s="525">
        <f t="shared" si="18"/>
        <v>10937746.939137459</v>
      </c>
      <c r="AW9" s="525">
        <f t="shared" si="18"/>
        <v>11187952.5060213</v>
      </c>
      <c r="AX9" s="525">
        <f t="shared" si="18"/>
        <v>10510982.9376828</v>
      </c>
      <c r="AY9" s="525">
        <f t="shared" si="18"/>
        <v>10510982.9376828</v>
      </c>
      <c r="AZ9" s="525">
        <f t="shared" si="18"/>
        <v>11197347.0664421</v>
      </c>
      <c r="BA9" s="525">
        <f t="shared" si="18"/>
        <v>11329293.209535001</v>
      </c>
      <c r="BB9" s="525">
        <f t="shared" si="18"/>
        <v>11436508.9367285</v>
      </c>
      <c r="BC9" s="525">
        <f t="shared" si="18"/>
        <v>11436508.9367285</v>
      </c>
      <c r="BD9" s="525">
        <f t="shared" si="18"/>
        <v>10967460.088831799</v>
      </c>
      <c r="BE9" s="525">
        <f t="shared" si="18"/>
        <v>11472925.815894701</v>
      </c>
      <c r="BF9" s="525">
        <f t="shared" si="18"/>
        <v>11481066.0780765</v>
      </c>
      <c r="BG9" s="525">
        <f t="shared" si="18"/>
        <v>11481066.0780765</v>
      </c>
      <c r="BH9" s="525">
        <f t="shared" si="18"/>
        <v>11001088.059449701</v>
      </c>
      <c r="BI9" s="525">
        <f t="shared" si="18"/>
        <v>11543617.9398701</v>
      </c>
      <c r="BJ9" s="525">
        <f t="shared" si="18"/>
        <v>10991532.5351297</v>
      </c>
      <c r="BK9" s="525">
        <f t="shared" si="18"/>
        <v>10991532.5351297</v>
      </c>
      <c r="BL9" s="525">
        <f t="shared" si="18"/>
        <v>11280185.896237999</v>
      </c>
      <c r="BM9" s="525">
        <f t="shared" si="18"/>
        <v>11220459.762238801</v>
      </c>
      <c r="BN9" s="525">
        <f t="shared" si="18"/>
        <v>10487433.1891897</v>
      </c>
      <c r="BO9" s="525">
        <f t="shared" ref="BO9:DZ9" si="19">INDEX($H$4:$JK$4,MATCH(BO$12,$H$3:$JK$3,1)+1)</f>
        <v>10487433.1891897</v>
      </c>
      <c r="BP9" s="525">
        <f t="shared" si="19"/>
        <v>11316407.568479801</v>
      </c>
      <c r="BQ9" s="525">
        <f t="shared" si="19"/>
        <v>11258365.617278</v>
      </c>
      <c r="BR9" s="525">
        <f t="shared" si="19"/>
        <v>11510764.452086199</v>
      </c>
      <c r="BS9" s="525">
        <f t="shared" si="19"/>
        <v>11510764.452086199</v>
      </c>
      <c r="BT9" s="525">
        <f t="shared" si="19"/>
        <v>11346387.306830101</v>
      </c>
      <c r="BU9" s="525">
        <f t="shared" si="19"/>
        <v>11669556.5244481</v>
      </c>
      <c r="BV9" s="525">
        <f t="shared" si="19"/>
        <v>11669255.790466901</v>
      </c>
      <c r="BW9" s="525">
        <f t="shared" si="19"/>
        <v>11669255.790466901</v>
      </c>
      <c r="BX9" s="525">
        <f t="shared" si="19"/>
        <v>11606104.5030607</v>
      </c>
      <c r="BY9" s="525">
        <f t="shared" si="19"/>
        <v>12074665.704574</v>
      </c>
      <c r="BZ9" s="525">
        <f t="shared" si="19"/>
        <v>11324717.478053899</v>
      </c>
      <c r="CA9" s="525">
        <f t="shared" si="19"/>
        <v>11324717.478053899</v>
      </c>
      <c r="CB9" s="525">
        <f t="shared" si="19"/>
        <v>11931646.6977094</v>
      </c>
      <c r="CC9" s="525">
        <f t="shared" si="19"/>
        <v>11699746.752971301</v>
      </c>
      <c r="CD9" s="525">
        <f t="shared" si="19"/>
        <v>11307837.5473786</v>
      </c>
      <c r="CE9" s="525">
        <f t="shared" si="19"/>
        <v>11307837.5473786</v>
      </c>
      <c r="CF9" s="525">
        <f t="shared" si="19"/>
        <v>12223454.194114201</v>
      </c>
      <c r="CG9" s="525">
        <f t="shared" si="19"/>
        <v>11927089.760556201</v>
      </c>
      <c r="CH9" s="525">
        <f t="shared" si="19"/>
        <v>11797530.9522589</v>
      </c>
      <c r="CI9" s="525">
        <f t="shared" si="19"/>
        <v>11797530.9522589</v>
      </c>
      <c r="CJ9" s="525">
        <f t="shared" si="19"/>
        <v>12169314.378616</v>
      </c>
      <c r="CK9" s="525">
        <f t="shared" si="19"/>
        <v>12221236.976350799</v>
      </c>
      <c r="CL9" s="525">
        <f t="shared" si="19"/>
        <v>12409746.7169121</v>
      </c>
      <c r="CM9" s="525">
        <f t="shared" si="19"/>
        <v>12409746.7169121</v>
      </c>
      <c r="CN9" s="525">
        <f t="shared" si="19"/>
        <v>12125991.0555791</v>
      </c>
      <c r="CO9" s="525">
        <f t="shared" si="19"/>
        <v>12272992.3121698</v>
      </c>
      <c r="CP9" s="525">
        <f t="shared" si="19"/>
        <v>12184447.4906117</v>
      </c>
      <c r="CQ9" s="525">
        <f t="shared" si="19"/>
        <v>12184447.4906117</v>
      </c>
      <c r="CR9" s="525">
        <f t="shared" si="19"/>
        <v>12461188.9084298</v>
      </c>
      <c r="CS9" s="525">
        <f t="shared" si="19"/>
        <v>12247309.8125429</v>
      </c>
      <c r="CT9" s="525">
        <f t="shared" si="19"/>
        <v>11787983.3784375</v>
      </c>
      <c r="CU9" s="525">
        <f t="shared" si="19"/>
        <v>11787983.3784375</v>
      </c>
      <c r="CV9" s="525">
        <f t="shared" si="19"/>
        <v>12751312.9154427</v>
      </c>
      <c r="CW9" s="525">
        <f t="shared" si="19"/>
        <v>12216534.209853999</v>
      </c>
      <c r="CX9" s="525">
        <f t="shared" si="19"/>
        <v>12372077.228078701</v>
      </c>
      <c r="CY9" s="525">
        <f t="shared" si="19"/>
        <v>12372077.228078701</v>
      </c>
      <c r="CZ9" s="525">
        <f t="shared" si="19"/>
        <v>12536791.315885801</v>
      </c>
      <c r="DA9" s="525">
        <f t="shared" si="19"/>
        <v>12273714.7695227</v>
      </c>
      <c r="DB9" s="525">
        <f t="shared" si="19"/>
        <v>12512081.3801172</v>
      </c>
      <c r="DC9" s="525">
        <f t="shared" si="19"/>
        <v>12512081.3801172</v>
      </c>
      <c r="DD9" s="525">
        <f t="shared" si="19"/>
        <v>12134174.938840499</v>
      </c>
      <c r="DE9" s="525">
        <f t="shared" si="19"/>
        <v>12205868.9936406</v>
      </c>
      <c r="DF9" s="525">
        <f t="shared" si="19"/>
        <v>12125538.391852699</v>
      </c>
      <c r="DG9" s="525">
        <f t="shared" si="19"/>
        <v>12125538.391852699</v>
      </c>
      <c r="DH9" s="525">
        <f t="shared" si="19"/>
        <v>12432657.058496401</v>
      </c>
      <c r="DI9" s="525">
        <f t="shared" si="19"/>
        <v>13288463.991721001</v>
      </c>
      <c r="DJ9" s="525">
        <f t="shared" si="19"/>
        <v>12570583.021366401</v>
      </c>
      <c r="DK9" s="525">
        <f t="shared" si="19"/>
        <v>12570583.021366401</v>
      </c>
      <c r="DL9" s="525">
        <f t="shared" si="19"/>
        <v>13839361.860235799</v>
      </c>
      <c r="DM9" s="525">
        <f t="shared" si="19"/>
        <v>12968536.023</v>
      </c>
      <c r="DN9" s="525">
        <f t="shared" si="19"/>
        <v>13790582.7906757</v>
      </c>
      <c r="DO9" s="525">
        <f t="shared" si="19"/>
        <v>13790582.7906757</v>
      </c>
      <c r="DP9" s="525">
        <f t="shared" si="19"/>
        <v>13644398.611530701</v>
      </c>
      <c r="DQ9" s="525">
        <f t="shared" si="19"/>
        <v>13380531.169492999</v>
      </c>
      <c r="DR9" s="525">
        <f t="shared" si="19"/>
        <v>14077200.8286297</v>
      </c>
      <c r="DS9" s="525">
        <f t="shared" si="19"/>
        <v>14077200.8286297</v>
      </c>
      <c r="DT9" s="525">
        <f t="shared" si="19"/>
        <v>13437094.656443199</v>
      </c>
      <c r="DU9" s="525">
        <f t="shared" si="19"/>
        <v>13747738.965964099</v>
      </c>
      <c r="DV9" s="525">
        <f t="shared" si="19"/>
        <v>13533884.0456562</v>
      </c>
      <c r="DW9" s="525">
        <f t="shared" si="19"/>
        <v>13533884.0456562</v>
      </c>
      <c r="DX9" s="525">
        <f t="shared" si="19"/>
        <v>13506787.3930212</v>
      </c>
      <c r="DY9" s="525">
        <f t="shared" si="19"/>
        <v>13970490.611140899</v>
      </c>
      <c r="DZ9" s="525">
        <f t="shared" si="19"/>
        <v>12940909.984064501</v>
      </c>
      <c r="EA9" s="525">
        <f t="shared" ref="EA9:GL9" si="20">INDEX($H$4:$JK$4,MATCH(EA$12,$H$3:$JK$3,1)+1)</f>
        <v>12940909.984064501</v>
      </c>
      <c r="EB9" s="525">
        <f t="shared" si="20"/>
        <v>14211347.4762586</v>
      </c>
      <c r="EC9" s="525">
        <f t="shared" si="20"/>
        <v>13740119.315105001</v>
      </c>
      <c r="ED9" s="525">
        <f t="shared" si="20"/>
        <v>14275171.289922699</v>
      </c>
      <c r="EE9" s="525">
        <f t="shared" si="20"/>
        <v>14275171.289922699</v>
      </c>
      <c r="EF9" s="525">
        <f t="shared" si="20"/>
        <v>13968509.550695101</v>
      </c>
      <c r="EG9" s="525">
        <f t="shared" si="20"/>
        <v>14158976.8087206</v>
      </c>
      <c r="EH9" s="525">
        <f t="shared" si="20"/>
        <v>14578787.4782279</v>
      </c>
      <c r="EI9" s="525">
        <f t="shared" si="20"/>
        <v>14578787.4782279</v>
      </c>
      <c r="EJ9" s="525">
        <f t="shared" si="20"/>
        <v>13546101.472951399</v>
      </c>
      <c r="EK9" s="525">
        <f t="shared" si="20"/>
        <v>14465511.6140793</v>
      </c>
      <c r="EL9" s="525">
        <f t="shared" si="20"/>
        <v>13969161.306947101</v>
      </c>
      <c r="EM9" s="525">
        <f t="shared" si="20"/>
        <v>13969161.306947101</v>
      </c>
      <c r="EN9" s="525">
        <f t="shared" si="20"/>
        <v>13822520.9488724</v>
      </c>
      <c r="EO9" s="525">
        <f t="shared" si="20"/>
        <v>14511493.9864769</v>
      </c>
      <c r="EP9" s="525">
        <f t="shared" si="20"/>
        <v>14004546.7377533</v>
      </c>
      <c r="EQ9" s="525">
        <f t="shared" si="20"/>
        <v>14004546.7377533</v>
      </c>
      <c r="ER9" s="525">
        <f t="shared" si="20"/>
        <v>14342379.424790701</v>
      </c>
      <c r="ES9" s="525">
        <f t="shared" si="20"/>
        <v>14415160.316734601</v>
      </c>
      <c r="ET9" s="525">
        <f t="shared" si="20"/>
        <v>14552518.0448786</v>
      </c>
      <c r="EU9" s="525">
        <f t="shared" si="20"/>
        <v>14552518.0448786</v>
      </c>
      <c r="EV9" s="525">
        <f t="shared" si="20"/>
        <v>14186353.3925563</v>
      </c>
      <c r="EW9" s="525">
        <f t="shared" si="20"/>
        <v>14855188.653768601</v>
      </c>
      <c r="EX9" s="525">
        <f t="shared" si="20"/>
        <v>14537076.8300195</v>
      </c>
      <c r="EY9" s="525">
        <f t="shared" si="20"/>
        <v>14537076.8300195</v>
      </c>
      <c r="EZ9" s="525">
        <f t="shared" si="20"/>
        <v>14371900.5928143</v>
      </c>
      <c r="FA9" s="525">
        <f t="shared" si="20"/>
        <v>14838537.6173438</v>
      </c>
      <c r="FB9" s="525">
        <f t="shared" si="20"/>
        <v>13863330.823666999</v>
      </c>
      <c r="FC9" s="525">
        <f t="shared" si="20"/>
        <v>13863330.823666999</v>
      </c>
      <c r="FD9" s="525">
        <f t="shared" si="20"/>
        <v>14742784.647249799</v>
      </c>
      <c r="FE9" s="525">
        <f t="shared" si="20"/>
        <v>14757534.5842357</v>
      </c>
      <c r="FF9" s="525">
        <f t="shared" si="20"/>
        <v>14142537.7155865</v>
      </c>
      <c r="FG9" s="525">
        <f t="shared" si="20"/>
        <v>14142537.7155865</v>
      </c>
      <c r="FH9" s="525">
        <f t="shared" si="20"/>
        <v>15193720.490542499</v>
      </c>
      <c r="FI9" s="525">
        <f t="shared" si="20"/>
        <v>15065566.726024101</v>
      </c>
      <c r="FJ9" s="525">
        <f t="shared" si="20"/>
        <v>14921402.4081145</v>
      </c>
      <c r="FK9" s="525">
        <f t="shared" si="20"/>
        <v>14921402.4081145</v>
      </c>
      <c r="FL9" s="525">
        <f t="shared" si="20"/>
        <v>15065512.4372855</v>
      </c>
      <c r="FM9" s="525">
        <f t="shared" si="20"/>
        <v>15108624.5288605</v>
      </c>
      <c r="FN9" s="525">
        <f t="shared" si="20"/>
        <v>14719802.710105199</v>
      </c>
      <c r="FO9" s="525">
        <f t="shared" si="20"/>
        <v>14719802.710105199</v>
      </c>
      <c r="FP9" s="525">
        <f t="shared" si="20"/>
        <v>14748794.362054899</v>
      </c>
      <c r="FQ9" s="525">
        <f t="shared" si="20"/>
        <v>14917168.746628899</v>
      </c>
      <c r="FR9" s="525">
        <f t="shared" si="20"/>
        <v>14329638.5745703</v>
      </c>
      <c r="FS9" s="525">
        <f t="shared" si="20"/>
        <v>14329638.5745703</v>
      </c>
      <c r="FT9" s="525">
        <f t="shared" si="20"/>
        <v>15223904.144719301</v>
      </c>
      <c r="FU9" s="525">
        <f t="shared" si="20"/>
        <v>14733264.3818291</v>
      </c>
      <c r="FV9" s="525">
        <f t="shared" si="20"/>
        <v>14244692.8244504</v>
      </c>
      <c r="FW9" s="525">
        <f t="shared" si="20"/>
        <v>14244692.8244504</v>
      </c>
      <c r="FX9" s="525">
        <f t="shared" si="20"/>
        <v>15867048.421584601</v>
      </c>
      <c r="FY9" s="525">
        <f t="shared" si="20"/>
        <v>15344531.574398801</v>
      </c>
      <c r="FZ9" s="525">
        <f t="shared" si="20"/>
        <v>15177377.660721799</v>
      </c>
      <c r="GA9" s="525">
        <f t="shared" si="20"/>
        <v>15177377.660721799</v>
      </c>
      <c r="GB9" s="525">
        <f t="shared" si="20"/>
        <v>15730781.4151401</v>
      </c>
      <c r="GC9" s="525">
        <f t="shared" si="20"/>
        <v>15595303.495380901</v>
      </c>
      <c r="GD9" s="525">
        <f t="shared" si="20"/>
        <v>15803091.0318415</v>
      </c>
      <c r="GE9" s="525">
        <f t="shared" si="20"/>
        <v>15803091.0318415</v>
      </c>
      <c r="GF9" s="525">
        <f t="shared" si="20"/>
        <v>15462162.178659599</v>
      </c>
      <c r="GG9" s="525">
        <f t="shared" si="20"/>
        <v>15438569.721162399</v>
      </c>
      <c r="GH9" s="525">
        <f t="shared" si="20"/>
        <v>15395279.890490901</v>
      </c>
      <c r="GI9" s="525">
        <f t="shared" si="20"/>
        <v>15395279.890490901</v>
      </c>
      <c r="GJ9" s="525">
        <f t="shared" si="20"/>
        <v>15651243.981065201</v>
      </c>
      <c r="GK9" s="525">
        <f t="shared" si="20"/>
        <v>15259035.664322799</v>
      </c>
      <c r="GL9" s="525">
        <f t="shared" si="20"/>
        <v>14702805.8609265</v>
      </c>
      <c r="GM9" s="525">
        <f t="shared" ref="GM9:IX9" si="21">INDEX($H$4:$JK$4,MATCH(GM$12,$H$3:$JK$3,1)+1)</f>
        <v>14702805.8609265</v>
      </c>
      <c r="GN9" s="525">
        <f t="shared" si="21"/>
        <v>16158413.4639282</v>
      </c>
      <c r="GO9" s="525">
        <f t="shared" si="21"/>
        <v>15303334.188647401</v>
      </c>
      <c r="GP9" s="525">
        <f t="shared" si="21"/>
        <v>15646169.926116399</v>
      </c>
      <c r="GQ9" s="525">
        <f t="shared" si="21"/>
        <v>15646169.926116399</v>
      </c>
      <c r="GR9" s="525">
        <f t="shared" si="21"/>
        <v>15814728.5756664</v>
      </c>
      <c r="GS9" s="525">
        <f t="shared" si="21"/>
        <v>15371781.0734597</v>
      </c>
      <c r="GT9" s="525">
        <f t="shared" si="21"/>
        <v>16166062.140657101</v>
      </c>
      <c r="GU9" s="525">
        <f t="shared" si="21"/>
        <v>16166062.140657101</v>
      </c>
      <c r="GV9" s="525">
        <f t="shared" si="21"/>
        <v>15563479.716422901</v>
      </c>
      <c r="GW9" s="525">
        <f t="shared" si="21"/>
        <v>15451637.318344001</v>
      </c>
      <c r="GX9" s="525">
        <f t="shared" si="21"/>
        <v>15555966.0913914</v>
      </c>
      <c r="GY9" s="525">
        <f t="shared" si="21"/>
        <v>15555966.0913914</v>
      </c>
      <c r="GZ9" s="525">
        <f t="shared" si="21"/>
        <v>15641147.0770567</v>
      </c>
      <c r="HA9" s="525">
        <f t="shared" si="21"/>
        <v>15963360.4360372</v>
      </c>
      <c r="HB9" s="525">
        <f t="shared" si="21"/>
        <v>15608501.642578799</v>
      </c>
      <c r="HC9" s="525">
        <f t="shared" si="21"/>
        <v>15608501.642578799</v>
      </c>
      <c r="HD9" s="525">
        <f t="shared" si="21"/>
        <v>16375755.7861742</v>
      </c>
      <c r="HE9" s="525">
        <f t="shared" si="21"/>
        <v>15799406.194172701</v>
      </c>
      <c r="HF9" s="525">
        <f t="shared" si="21"/>
        <v>16293127.1115875</v>
      </c>
      <c r="HG9" s="525">
        <f t="shared" si="21"/>
        <v>16293127.1115875</v>
      </c>
      <c r="HH9" s="525">
        <f t="shared" si="21"/>
        <v>15930813.856041299</v>
      </c>
      <c r="HI9" s="525">
        <f t="shared" si="21"/>
        <v>16007222.0467753</v>
      </c>
      <c r="HJ9" s="525">
        <f t="shared" si="21"/>
        <v>16473057.445722099</v>
      </c>
      <c r="HK9" s="525">
        <f t="shared" si="21"/>
        <v>16473057.445722099</v>
      </c>
      <c r="HL9" s="525">
        <f t="shared" si="21"/>
        <v>15374857.8581979</v>
      </c>
      <c r="HM9" s="525">
        <f t="shared" si="21"/>
        <v>16321722.7455959</v>
      </c>
      <c r="HN9" s="525">
        <f t="shared" si="21"/>
        <v>15831430.3953925</v>
      </c>
      <c r="HO9" s="525">
        <f t="shared" si="21"/>
        <v>15831430.3953925</v>
      </c>
      <c r="HP9" s="525">
        <f t="shared" si="21"/>
        <v>15674188.486771399</v>
      </c>
      <c r="HQ9" s="525">
        <f t="shared" si="21"/>
        <v>15870272.5331492</v>
      </c>
      <c r="HR9" s="525">
        <f t="shared" si="21"/>
        <v>14735609.0856582</v>
      </c>
      <c r="HS9" s="525">
        <f t="shared" si="21"/>
        <v>14735609.0856582</v>
      </c>
      <c r="HT9" s="525">
        <f t="shared" si="21"/>
        <v>15525360.044725699</v>
      </c>
      <c r="HU9" s="525">
        <f t="shared" si="21"/>
        <v>15605968.985522101</v>
      </c>
      <c r="HV9" s="525">
        <f t="shared" si="21"/>
        <v>15739116.175051801</v>
      </c>
      <c r="HW9" s="525">
        <f t="shared" si="21"/>
        <v>15739116.175051801</v>
      </c>
      <c r="HX9" s="525">
        <f t="shared" si="21"/>
        <v>15130783.526475901</v>
      </c>
      <c r="HY9" s="525">
        <f t="shared" si="21"/>
        <v>15774143.280611601</v>
      </c>
      <c r="HZ9" s="525">
        <f t="shared" si="21"/>
        <v>15707002.534168901</v>
      </c>
      <c r="IA9" s="525">
        <f t="shared" si="21"/>
        <v>15707002.534168901</v>
      </c>
      <c r="IB9" s="525">
        <f t="shared" si="21"/>
        <v>15073727.2909481</v>
      </c>
      <c r="IC9" s="525">
        <f t="shared" si="21"/>
        <v>15870638.740080399</v>
      </c>
      <c r="ID9" s="525">
        <f t="shared" si="21"/>
        <v>15037911.855670501</v>
      </c>
      <c r="IE9" s="525">
        <f t="shared" si="21"/>
        <v>15037911.855670501</v>
      </c>
      <c r="IF9" s="525">
        <f t="shared" si="21"/>
        <v>15578002.3916457</v>
      </c>
      <c r="IG9" s="525">
        <f t="shared" si="21"/>
        <v>15361759.172958801</v>
      </c>
      <c r="IH9" s="525">
        <f t="shared" si="21"/>
        <v>14504632.1781167</v>
      </c>
      <c r="II9" s="525">
        <f t="shared" si="21"/>
        <v>14504632.1781167</v>
      </c>
      <c r="IJ9" s="525">
        <f t="shared" si="21"/>
        <v>15381561.145170201</v>
      </c>
      <c r="IK9" s="525">
        <f t="shared" si="21"/>
        <v>15428564.1117409</v>
      </c>
      <c r="IL9" s="525">
        <f t="shared" si="21"/>
        <v>15557460.063814299</v>
      </c>
      <c r="IM9" s="525">
        <f t="shared" si="21"/>
        <v>15557460.063814299</v>
      </c>
      <c r="IN9" s="525">
        <f t="shared" si="21"/>
        <v>15351093.290921999</v>
      </c>
      <c r="IO9" s="525">
        <f t="shared" si="21"/>
        <v>15867550.041472699</v>
      </c>
      <c r="IP9" s="525">
        <f t="shared" si="21"/>
        <v>15409806.232143801</v>
      </c>
      <c r="IQ9" s="525">
        <f t="shared" si="21"/>
        <v>15409806.232143801</v>
      </c>
      <c r="IR9" s="525">
        <f t="shared" si="21"/>
        <v>15207511.075762</v>
      </c>
      <c r="IS9" s="525">
        <f t="shared" si="21"/>
        <v>15111965.0385019</v>
      </c>
      <c r="IT9" s="525">
        <f t="shared" si="21"/>
        <v>13968289.129042801</v>
      </c>
      <c r="IU9" s="525">
        <f t="shared" si="21"/>
        <v>13968289.129042801</v>
      </c>
      <c r="IV9" s="525">
        <f t="shared" si="21"/>
        <v>15131263.3086602</v>
      </c>
      <c r="IW9" s="525">
        <f t="shared" si="21"/>
        <v>14541185.516484501</v>
      </c>
      <c r="IX9" s="525">
        <f t="shared" si="21"/>
        <v>13647548.997731</v>
      </c>
      <c r="IY9" s="525">
        <f t="shared" ref="IY9:LJ9" si="22">INDEX($H$4:$JK$4,MATCH(IY$12,$H$3:$JK$3,1)+1)</f>
        <v>13647548.997731</v>
      </c>
      <c r="IZ9" s="525">
        <f t="shared" si="22"/>
        <v>14788686.666591801</v>
      </c>
      <c r="JA9" s="525">
        <f t="shared" si="22"/>
        <v>14652116.0780965</v>
      </c>
      <c r="JB9" s="525">
        <f t="shared" si="22"/>
        <v>14436651.4772732</v>
      </c>
      <c r="JC9" s="525">
        <f t="shared" si="22"/>
        <v>14436651.4772732</v>
      </c>
      <c r="JD9" s="525">
        <f t="shared" si="22"/>
        <v>14740728.9152583</v>
      </c>
      <c r="JE9" s="525">
        <f t="shared" si="22"/>
        <v>14924629.147068501</v>
      </c>
      <c r="JF9" s="525">
        <f t="shared" si="22"/>
        <v>14528750.8789206</v>
      </c>
      <c r="JG9" s="525">
        <f t="shared" si="22"/>
        <v>14528750.8789206</v>
      </c>
      <c r="JH9" s="525">
        <f t="shared" si="22"/>
        <v>14422116.0678641</v>
      </c>
      <c r="JI9" s="525">
        <f t="shared" si="22"/>
        <v>14696683.807185199</v>
      </c>
      <c r="JJ9" s="525">
        <f t="shared" si="22"/>
        <v>13986016.5774465</v>
      </c>
      <c r="JK9" s="525">
        <f t="shared" si="22"/>
        <v>13986016.5774465</v>
      </c>
      <c r="JL9" s="525">
        <f t="shared" si="22"/>
        <v>14850127.134493699</v>
      </c>
      <c r="JM9" s="525">
        <f t="shared" si="22"/>
        <v>14105163.945302401</v>
      </c>
      <c r="JN9" s="525">
        <f t="shared" si="22"/>
        <v>13977058.1187506</v>
      </c>
      <c r="JO9" s="525">
        <f t="shared" si="22"/>
        <v>13977058.1187506</v>
      </c>
      <c r="JP9" s="525">
        <f t="shared" si="22"/>
        <v>14642351.330147</v>
      </c>
      <c r="JQ9" s="525">
        <f t="shared" si="22"/>
        <v>13951451.262310499</v>
      </c>
      <c r="JR9" s="525">
        <f t="shared" si="22"/>
        <v>13910719.6020991</v>
      </c>
      <c r="JS9" s="525">
        <f t="shared" si="22"/>
        <v>13910719.6020991</v>
      </c>
      <c r="JT9" s="525">
        <f t="shared" si="22"/>
        <v>14008332.9892834</v>
      </c>
      <c r="JU9" s="525">
        <f t="shared" si="22"/>
        <v>13631697.938761299</v>
      </c>
      <c r="JV9" s="525">
        <f t="shared" si="22"/>
        <v>14186401.822714901</v>
      </c>
      <c r="JW9" s="525">
        <f t="shared" si="22"/>
        <v>14186401.822714901</v>
      </c>
      <c r="JX9" s="525">
        <f t="shared" si="22"/>
        <v>13605432.871536201</v>
      </c>
      <c r="JY9" s="525">
        <f t="shared" si="22"/>
        <v>13537226.7476057</v>
      </c>
      <c r="JZ9" s="525">
        <f t="shared" si="22"/>
        <v>13485283.461153001</v>
      </c>
      <c r="KA9" s="525">
        <f t="shared" si="22"/>
        <v>13485283.461153001</v>
      </c>
      <c r="KB9" s="525">
        <f t="shared" si="22"/>
        <v>13767460.058963601</v>
      </c>
      <c r="KC9" s="525">
        <f t="shared" si="22"/>
        <v>13198498.618202001</v>
      </c>
      <c r="KD9" s="525">
        <f t="shared" si="22"/>
        <v>12451260.8848815</v>
      </c>
      <c r="KE9" s="525">
        <f t="shared" si="22"/>
        <v>12451260.8848815</v>
      </c>
      <c r="KF9" s="525">
        <f t="shared" si="22"/>
        <v>13538649.0804347</v>
      </c>
      <c r="KG9" s="525">
        <f t="shared" si="22"/>
        <v>12565129.514038</v>
      </c>
      <c r="KH9" s="525">
        <f t="shared" si="22"/>
        <v>13058211.457840599</v>
      </c>
      <c r="KI9" s="525">
        <f t="shared" si="22"/>
        <v>13058211.457840599</v>
      </c>
      <c r="KJ9" s="525">
        <f t="shared" si="22"/>
        <v>12940106.812860999</v>
      </c>
      <c r="KK9" s="525">
        <f t="shared" si="22"/>
        <v>12381472.986002499</v>
      </c>
      <c r="KL9" s="525">
        <f t="shared" si="22"/>
        <v>12770130.1316435</v>
      </c>
      <c r="KM9" s="525">
        <f t="shared" si="22"/>
        <v>12770130.1316435</v>
      </c>
      <c r="KN9" s="525">
        <f t="shared" si="22"/>
        <v>12078991.139681799</v>
      </c>
      <c r="KO9" s="525">
        <f t="shared" si="22"/>
        <v>12349572.7701951</v>
      </c>
      <c r="KP9" s="525">
        <f t="shared" si="22"/>
        <v>11964422.7690276</v>
      </c>
      <c r="KQ9" s="525">
        <f t="shared" si="22"/>
        <v>11964422.7690276</v>
      </c>
      <c r="KR9" s="525">
        <f t="shared" si="22"/>
        <v>12001937.8532982</v>
      </c>
      <c r="KS9" s="525">
        <f t="shared" si="22"/>
        <v>11860175.4932274</v>
      </c>
      <c r="KT9" s="525">
        <f t="shared" si="22"/>
        <v>10995791.3589007</v>
      </c>
      <c r="KU9" s="525">
        <f t="shared" si="22"/>
        <v>10995791.3589007</v>
      </c>
      <c r="KV9" s="525">
        <f t="shared" si="22"/>
        <v>11732706.896926301</v>
      </c>
      <c r="KW9" s="525">
        <f t="shared" si="22"/>
        <v>11349352.481164001</v>
      </c>
      <c r="KX9" s="525">
        <f t="shared" si="22"/>
        <v>11646008.3675086</v>
      </c>
      <c r="KY9" s="525">
        <f t="shared" si="22"/>
        <v>11646008.3675086</v>
      </c>
      <c r="KZ9" s="525">
        <f t="shared" si="22"/>
        <v>11283967.2341756</v>
      </c>
      <c r="LA9" s="525">
        <f t="shared" si="22"/>
        <v>11119440.638694201</v>
      </c>
      <c r="LB9" s="525">
        <f t="shared" si="22"/>
        <v>11415288.2269386</v>
      </c>
      <c r="LC9" s="525">
        <f t="shared" si="22"/>
        <v>11415288.2269386</v>
      </c>
      <c r="LD9" s="525">
        <f t="shared" si="22"/>
        <v>10530877.8479732</v>
      </c>
      <c r="LE9" s="525">
        <f t="shared" si="22"/>
        <v>11103312.648858201</v>
      </c>
      <c r="LF9" s="525">
        <f t="shared" si="22"/>
        <v>10718454.4252236</v>
      </c>
      <c r="LG9" s="525">
        <f t="shared" si="22"/>
        <v>10718454.4252236</v>
      </c>
      <c r="LH9" s="525">
        <f t="shared" si="22"/>
        <v>10590883.649802901</v>
      </c>
      <c r="LI9" s="525">
        <f t="shared" si="22"/>
        <v>10707812.282809099</v>
      </c>
      <c r="LJ9" s="525">
        <f t="shared" si="22"/>
        <v>10002654.8391032</v>
      </c>
      <c r="LK9" s="525">
        <f t="shared" ref="LK9:MP9" si="23">INDEX($H$4:$JK$4,MATCH(LK$12,$H$3:$JK$3,1)+1)</f>
        <v>10002654.8391032</v>
      </c>
      <c r="LL9" s="525">
        <f t="shared" si="23"/>
        <v>10629472.530809101</v>
      </c>
      <c r="LM9" s="525">
        <f t="shared" si="23"/>
        <v>10481340.040472999</v>
      </c>
      <c r="LN9" s="525">
        <f t="shared" si="23"/>
        <v>10607337.146670099</v>
      </c>
      <c r="LO9" s="525">
        <f t="shared" si="23"/>
        <v>10607337.146670099</v>
      </c>
      <c r="LP9" s="525">
        <f t="shared" si="23"/>
        <v>10109040.851751801</v>
      </c>
      <c r="LQ9" s="525">
        <f t="shared" si="23"/>
        <v>10431971.5618407</v>
      </c>
      <c r="LR9" s="525">
        <f t="shared" si="23"/>
        <v>10440657.4966489</v>
      </c>
      <c r="LS9" s="525">
        <f t="shared" si="23"/>
        <v>10440657.4966489</v>
      </c>
      <c r="LT9" s="525">
        <f t="shared" si="23"/>
        <v>9830478.8814189993</v>
      </c>
      <c r="LU9" s="525">
        <f t="shared" si="23"/>
        <v>10354900.769029001</v>
      </c>
      <c r="LV9" s="525">
        <f t="shared" si="23"/>
        <v>9780370.9744267594</v>
      </c>
      <c r="LW9" s="525">
        <f t="shared" si="23"/>
        <v>9780370.9744267594</v>
      </c>
      <c r="LX9" s="525">
        <f t="shared" si="23"/>
        <v>10102643.396221999</v>
      </c>
      <c r="LY9" s="525">
        <f t="shared" si="23"/>
        <v>10003362.516647501</v>
      </c>
      <c r="LZ9" s="525">
        <f t="shared" si="23"/>
        <v>9461095.0853907801</v>
      </c>
      <c r="MA9" s="525">
        <f t="shared" si="23"/>
        <v>9461095.0853907801</v>
      </c>
      <c r="MB9" s="525">
        <f t="shared" si="23"/>
        <v>9449334.9755158592</v>
      </c>
      <c r="MC9" s="525">
        <f t="shared" si="23"/>
        <v>8306440.3417589301</v>
      </c>
      <c r="MD9" s="525">
        <f t="shared" si="23"/>
        <v>9185204.33418574</v>
      </c>
      <c r="ME9" s="525">
        <f t="shared" si="23"/>
        <v>9185204.33418574</v>
      </c>
      <c r="MF9" s="525">
        <f t="shared" si="23"/>
        <v>9850061.9279911593</v>
      </c>
      <c r="MG9" s="525">
        <f t="shared" si="23"/>
        <v>10016054.9283482</v>
      </c>
      <c r="MH9" s="525">
        <f t="shared" si="23"/>
        <v>9727640.8265188709</v>
      </c>
      <c r="MI9" s="525">
        <f t="shared" si="23"/>
        <v>9727640.8265188709</v>
      </c>
      <c r="MJ9" s="525">
        <f t="shared" si="23"/>
        <v>9686325.0823217202</v>
      </c>
      <c r="MK9" s="525">
        <f t="shared" si="23"/>
        <v>9923355.9601482507</v>
      </c>
      <c r="ML9" s="525">
        <f t="shared" si="23"/>
        <v>9303801.0804188102</v>
      </c>
      <c r="MM9" s="525">
        <f t="shared" si="23"/>
        <v>9303801.0804188102</v>
      </c>
      <c r="MN9" s="525">
        <f t="shared" si="23"/>
        <v>9810222.3616666701</v>
      </c>
      <c r="MO9" s="525" t="e">
        <f t="shared" si="23"/>
        <v>#REF!</v>
      </c>
      <c r="MP9" s="525" t="e">
        <f t="shared" si="23"/>
        <v>#REF!</v>
      </c>
    </row>
    <row r="10" spans="1:354" x14ac:dyDescent="0.25">
      <c r="A10" s="525"/>
      <c r="B10" s="525"/>
      <c r="C10" s="525"/>
      <c r="D10" s="525"/>
      <c r="E10" s="525"/>
      <c r="F10" s="525"/>
      <c r="G10" s="525"/>
      <c r="H10" s="525"/>
      <c r="I10" s="525"/>
      <c r="J10" s="525"/>
      <c r="K10" s="525"/>
      <c r="L10" s="525"/>
      <c r="M10" s="525"/>
      <c r="N10" s="525"/>
      <c r="O10" s="525"/>
      <c r="P10" s="525"/>
      <c r="Q10" s="525"/>
      <c r="R10" s="525"/>
      <c r="S10" s="525"/>
      <c r="T10" s="525"/>
      <c r="U10" s="525"/>
      <c r="V10" s="525"/>
      <c r="W10" s="525"/>
      <c r="X10" s="525"/>
      <c r="Y10" s="525"/>
      <c r="Z10" s="525"/>
      <c r="AA10" s="525"/>
      <c r="AB10" s="525"/>
      <c r="AC10" s="525"/>
      <c r="AD10" s="525"/>
      <c r="AE10" s="525"/>
      <c r="AF10" s="525"/>
      <c r="AG10" s="525"/>
      <c r="AH10" s="525"/>
      <c r="AI10" s="525"/>
      <c r="AJ10" s="525"/>
      <c r="AK10" s="525"/>
      <c r="AL10" s="525"/>
      <c r="AM10" s="525"/>
      <c r="AN10" s="525"/>
      <c r="AO10" s="525"/>
      <c r="AP10" s="525"/>
      <c r="AQ10" s="525"/>
      <c r="AR10" s="525"/>
      <c r="AS10" s="525"/>
      <c r="AT10" s="525"/>
      <c r="AU10" s="525"/>
      <c r="AV10" s="525"/>
      <c r="AW10" s="525"/>
      <c r="AX10" s="525"/>
      <c r="AY10" s="525"/>
      <c r="AZ10" s="525"/>
      <c r="BA10" s="525"/>
      <c r="BB10" s="525"/>
      <c r="BC10" s="525"/>
      <c r="BD10" s="525"/>
      <c r="BE10" s="525"/>
      <c r="BF10" s="525"/>
      <c r="BG10" s="525"/>
      <c r="BH10" s="525"/>
      <c r="BI10" s="525"/>
      <c r="BJ10" s="525"/>
      <c r="BK10" s="525"/>
      <c r="BL10" s="525"/>
      <c r="BM10" s="525"/>
      <c r="BN10" s="525"/>
      <c r="BO10" s="525"/>
      <c r="BP10" s="525"/>
      <c r="BQ10" s="525"/>
      <c r="BR10" s="525"/>
      <c r="BS10" s="525"/>
      <c r="BT10" s="525"/>
      <c r="BU10" s="525"/>
      <c r="BV10" s="525"/>
      <c r="BW10" s="525"/>
      <c r="BX10" s="525"/>
      <c r="BY10" s="525"/>
      <c r="BZ10" s="525"/>
      <c r="CA10" s="525"/>
      <c r="CB10" s="525"/>
      <c r="CC10" s="525"/>
      <c r="CD10" s="525"/>
      <c r="CE10" s="525"/>
      <c r="CF10" s="525"/>
      <c r="CG10" s="525"/>
      <c r="CH10" s="525"/>
      <c r="CI10" s="525"/>
      <c r="CJ10" s="525"/>
      <c r="CK10" s="525"/>
      <c r="CL10" s="525"/>
      <c r="CM10" s="525"/>
      <c r="CN10" s="525"/>
      <c r="CO10" s="525"/>
      <c r="CP10" s="525"/>
      <c r="CQ10" s="525"/>
      <c r="CR10" s="525"/>
      <c r="CS10" s="525"/>
      <c r="CT10" s="525"/>
      <c r="CU10" s="525"/>
      <c r="CV10" s="525"/>
      <c r="CW10" s="525"/>
      <c r="CX10" s="525"/>
      <c r="CY10" s="525"/>
      <c r="CZ10" s="525"/>
      <c r="DA10" s="525"/>
      <c r="DB10" s="525"/>
      <c r="DC10" s="525"/>
      <c r="DD10" s="525"/>
      <c r="DE10" s="525"/>
      <c r="DF10" s="525"/>
      <c r="DG10" s="525"/>
      <c r="DH10" s="525"/>
      <c r="DI10" s="525"/>
      <c r="DJ10" s="525"/>
      <c r="DK10" s="525"/>
      <c r="DL10" s="525"/>
      <c r="DM10" s="525"/>
      <c r="DN10" s="525"/>
      <c r="DO10" s="525"/>
      <c r="DP10" s="525"/>
      <c r="DQ10" s="525"/>
      <c r="DR10" s="525"/>
      <c r="DS10" s="525"/>
      <c r="DT10" s="525"/>
      <c r="DU10" s="525"/>
      <c r="DV10" s="525"/>
      <c r="DW10" s="525"/>
      <c r="DX10" s="525"/>
      <c r="DY10" s="525"/>
      <c r="DZ10" s="525"/>
      <c r="EA10" s="525"/>
      <c r="EB10" s="525"/>
      <c r="EC10" s="525"/>
      <c r="ED10" s="525"/>
      <c r="EE10" s="525"/>
      <c r="EF10" s="525"/>
      <c r="EG10" s="525"/>
      <c r="EH10" s="525"/>
      <c r="EI10" s="525"/>
      <c r="EJ10" s="525"/>
      <c r="EK10" s="525"/>
      <c r="EL10" s="525"/>
      <c r="EM10" s="525"/>
      <c r="EN10" s="525"/>
      <c r="EO10" s="525"/>
      <c r="EP10" s="525"/>
      <c r="EQ10" s="525"/>
      <c r="ER10" s="525"/>
      <c r="ES10" s="525"/>
      <c r="ET10" s="525"/>
      <c r="EU10" s="525"/>
      <c r="EV10" s="525"/>
      <c r="EW10" s="525"/>
      <c r="EX10" s="525"/>
      <c r="EY10" s="525"/>
      <c r="EZ10" s="525"/>
      <c r="FA10" s="525"/>
      <c r="FB10" s="525"/>
      <c r="FC10" s="525"/>
      <c r="FD10" s="525"/>
      <c r="FE10" s="525"/>
      <c r="FF10" s="525"/>
      <c r="FG10" s="525"/>
      <c r="FH10" s="525"/>
      <c r="FI10" s="525"/>
      <c r="FJ10" s="525"/>
      <c r="FK10" s="525"/>
      <c r="FL10" s="525"/>
      <c r="FM10" s="525"/>
      <c r="FN10" s="525"/>
      <c r="FO10" s="525"/>
      <c r="FP10" s="525"/>
      <c r="FQ10" s="525"/>
      <c r="FR10" s="525"/>
      <c r="FS10" s="525"/>
      <c r="FT10" s="525"/>
      <c r="FU10" s="525"/>
      <c r="FV10" s="525"/>
      <c r="FW10" s="525"/>
      <c r="FX10" s="525"/>
      <c r="FY10" s="525"/>
      <c r="FZ10" s="525"/>
      <c r="GA10" s="525"/>
      <c r="GB10" s="525"/>
      <c r="GC10" s="525"/>
      <c r="GD10" s="525"/>
      <c r="GE10" s="525"/>
      <c r="GF10" s="525"/>
      <c r="GG10" s="525"/>
      <c r="GH10" s="525"/>
      <c r="GI10" s="525"/>
      <c r="GJ10" s="525"/>
      <c r="GK10" s="525"/>
      <c r="GL10" s="525"/>
      <c r="GM10" s="525"/>
      <c r="GN10" s="525"/>
      <c r="GO10" s="525"/>
      <c r="GP10" s="525"/>
      <c r="GQ10" s="525"/>
      <c r="GR10" s="525"/>
      <c r="GS10" s="525"/>
      <c r="GT10" s="525"/>
      <c r="GU10" s="525"/>
      <c r="GV10" s="525"/>
      <c r="GW10" s="525"/>
      <c r="GX10" s="525"/>
      <c r="GY10" s="525"/>
      <c r="GZ10" s="525"/>
      <c r="HA10" s="525"/>
      <c r="HB10" s="525"/>
      <c r="HC10" s="525"/>
      <c r="HD10" s="525"/>
      <c r="HE10" s="525"/>
      <c r="HF10" s="525"/>
      <c r="HG10" s="525"/>
      <c r="HH10" s="525"/>
      <c r="HI10" s="525"/>
      <c r="HJ10" s="525"/>
      <c r="HK10" s="525"/>
      <c r="HL10" s="525"/>
      <c r="HM10" s="525"/>
      <c r="HN10" s="525"/>
      <c r="HO10" s="525"/>
      <c r="HP10" s="525"/>
      <c r="HQ10" s="525"/>
      <c r="HR10" s="525"/>
      <c r="HS10" s="525"/>
      <c r="HT10" s="525"/>
      <c r="HU10" s="525"/>
      <c r="HV10" s="525"/>
      <c r="HW10" s="525"/>
      <c r="HX10" s="525"/>
      <c r="HY10" s="525"/>
      <c r="HZ10" s="525"/>
      <c r="IA10" s="525"/>
      <c r="IB10" s="525"/>
      <c r="IC10" s="525"/>
      <c r="ID10" s="525"/>
      <c r="IE10" s="525"/>
      <c r="IF10" s="525"/>
      <c r="IG10" s="525"/>
      <c r="IH10" s="525"/>
      <c r="II10" s="525"/>
      <c r="IJ10" s="525"/>
      <c r="IK10" s="525"/>
      <c r="IL10" s="525"/>
      <c r="IM10" s="525"/>
      <c r="IN10" s="525"/>
      <c r="IO10" s="525"/>
      <c r="IP10" s="525"/>
      <c r="IQ10" s="525"/>
      <c r="IR10" s="525"/>
      <c r="IS10" s="525"/>
      <c r="IT10" s="525"/>
      <c r="IU10" s="525"/>
      <c r="IV10" s="525"/>
      <c r="IW10" s="525"/>
      <c r="IX10" s="525"/>
      <c r="IY10" s="525"/>
      <c r="IZ10" s="525"/>
      <c r="JA10" s="525"/>
      <c r="JB10" s="525"/>
      <c r="JC10" s="525"/>
      <c r="JD10" s="525"/>
      <c r="JE10" s="525"/>
      <c r="JF10" s="525"/>
      <c r="JG10" s="525"/>
      <c r="JH10" s="525"/>
      <c r="JI10" s="525"/>
      <c r="JJ10" s="525"/>
      <c r="JK10" s="525"/>
      <c r="JL10" s="525"/>
      <c r="JM10" s="525"/>
      <c r="JN10" s="525"/>
      <c r="JO10" s="525"/>
      <c r="JP10" s="525"/>
      <c r="JQ10" s="525"/>
      <c r="JR10" s="525"/>
      <c r="JS10" s="525"/>
      <c r="JT10" s="525"/>
      <c r="JU10" s="525"/>
      <c r="JV10" s="525"/>
      <c r="JW10" s="525"/>
      <c r="JX10" s="525"/>
      <c r="JY10" s="525"/>
      <c r="JZ10" s="525"/>
      <c r="KA10" s="525"/>
      <c r="KB10" s="525"/>
      <c r="KC10" s="525"/>
      <c r="KD10" s="525"/>
      <c r="KE10" s="525"/>
      <c r="KF10" s="525"/>
      <c r="KG10" s="525"/>
      <c r="KH10" s="525"/>
      <c r="KI10" s="525"/>
      <c r="KJ10" s="525"/>
      <c r="KK10" s="525"/>
      <c r="KL10" s="525"/>
      <c r="KM10" s="525"/>
      <c r="KN10" s="525"/>
      <c r="KO10" s="525"/>
      <c r="KP10" s="525"/>
      <c r="KQ10" s="525"/>
      <c r="KR10" s="525"/>
      <c r="KS10" s="525"/>
      <c r="KT10" s="525"/>
      <c r="KU10" s="525"/>
      <c r="KV10" s="525"/>
      <c r="KW10" s="525"/>
      <c r="KX10" s="525"/>
      <c r="KY10" s="525"/>
      <c r="KZ10" s="525"/>
      <c r="LA10" s="525"/>
      <c r="LB10" s="525"/>
      <c r="LC10" s="525"/>
      <c r="LD10" s="525"/>
      <c r="LE10" s="525"/>
      <c r="LF10" s="525"/>
      <c r="LG10" s="525"/>
      <c r="LH10" s="525"/>
      <c r="LI10" s="525"/>
      <c r="LJ10" s="525"/>
      <c r="LK10" s="525"/>
      <c r="LL10" s="525"/>
      <c r="LM10" s="525"/>
      <c r="LN10" s="525"/>
      <c r="LO10" s="525"/>
      <c r="LP10" s="525"/>
      <c r="LQ10" s="525"/>
      <c r="LR10" s="525"/>
      <c r="LS10" s="525"/>
      <c r="LT10" s="525"/>
      <c r="LU10" s="525"/>
      <c r="LV10" s="525"/>
      <c r="LW10" s="525"/>
      <c r="LX10" s="525"/>
      <c r="LY10" s="525"/>
      <c r="LZ10" s="525"/>
      <c r="MA10" s="525"/>
      <c r="MB10" s="525"/>
      <c r="MC10" s="525"/>
      <c r="MD10" s="525"/>
      <c r="ME10" s="525"/>
      <c r="MF10" s="525"/>
      <c r="MG10" s="525"/>
      <c r="MH10" s="525"/>
      <c r="MI10" s="525"/>
      <c r="MJ10" s="525"/>
      <c r="MK10" s="525"/>
      <c r="ML10" s="525"/>
      <c r="MM10" s="525"/>
      <c r="MN10" s="525"/>
      <c r="MO10" s="525"/>
      <c r="MP10" s="525"/>
    </row>
    <row r="11" spans="1:354" x14ac:dyDescent="0.25">
      <c r="A11" s="525"/>
      <c r="B11" s="525"/>
      <c r="C11" s="525"/>
      <c r="D11" s="525"/>
      <c r="E11" s="525"/>
      <c r="F11" s="525"/>
      <c r="G11" s="525"/>
      <c r="H11" s="525"/>
      <c r="I11" s="525"/>
      <c r="J11" s="525"/>
      <c r="K11" s="525"/>
      <c r="L11" s="525"/>
      <c r="M11" s="525"/>
      <c r="N11" s="525"/>
      <c r="O11" s="525"/>
      <c r="P11" s="525"/>
      <c r="Q11" s="525"/>
      <c r="R11" s="525"/>
      <c r="S11" s="525"/>
      <c r="T11" s="525"/>
      <c r="U11" s="525"/>
      <c r="V11" s="525"/>
      <c r="W11" s="525"/>
      <c r="X11" s="525"/>
      <c r="Y11" s="525"/>
      <c r="Z11" s="525"/>
      <c r="AA11" s="525"/>
      <c r="AB11" s="525"/>
      <c r="AC11" s="525"/>
      <c r="AD11" s="525"/>
      <c r="AE11" s="525"/>
      <c r="AF11" s="525"/>
      <c r="AG11" s="525"/>
      <c r="AH11" s="525"/>
      <c r="AI11" s="525"/>
      <c r="AJ11" s="525"/>
      <c r="AK11" s="525"/>
      <c r="AL11" s="525"/>
      <c r="AM11" s="525"/>
      <c r="AN11" s="525"/>
      <c r="AO11" s="525"/>
      <c r="AP11" s="525"/>
      <c r="AQ11" s="525"/>
      <c r="AR11" s="525"/>
      <c r="AS11" s="525"/>
      <c r="AT11" s="525"/>
      <c r="AU11" s="525"/>
      <c r="AV11" s="525"/>
      <c r="AW11" s="525"/>
      <c r="AX11" s="525"/>
      <c r="AY11" s="525"/>
      <c r="AZ11" s="525"/>
      <c r="BA11" s="525"/>
      <c r="BB11" s="525"/>
      <c r="BC11" s="525"/>
      <c r="BD11" s="525"/>
      <c r="BE11" s="525"/>
      <c r="BF11" s="525"/>
      <c r="BG11" s="525"/>
      <c r="BH11" s="525"/>
      <c r="BI11" s="525"/>
      <c r="BJ11" s="525"/>
      <c r="BK11" s="525"/>
      <c r="BL11" s="525"/>
      <c r="BM11" s="525"/>
      <c r="BN11" s="525"/>
      <c r="BO11" s="525"/>
      <c r="BP11" s="525"/>
      <c r="BQ11" s="525"/>
      <c r="BR11" s="525"/>
      <c r="BS11" s="525"/>
      <c r="BT11" s="525"/>
      <c r="BU11" s="525"/>
      <c r="BV11" s="525"/>
      <c r="BW11" s="525"/>
      <c r="BX11" s="525"/>
      <c r="BY11" s="525"/>
      <c r="BZ11" s="525"/>
      <c r="CA11" s="525"/>
      <c r="CB11" s="525"/>
      <c r="CC11" s="525"/>
      <c r="CD11" s="525"/>
      <c r="CE11" s="525"/>
      <c r="CF11" s="525"/>
      <c r="CG11" s="525"/>
      <c r="CH11" s="525"/>
      <c r="CI11" s="525"/>
      <c r="CJ11" s="525"/>
      <c r="CK11" s="525"/>
      <c r="CL11" s="525"/>
      <c r="CM11" s="525"/>
      <c r="CN11" s="525"/>
      <c r="CO11" s="525"/>
      <c r="CP11" s="525"/>
      <c r="CQ11" s="525"/>
      <c r="CR11" s="525"/>
      <c r="CS11" s="525"/>
      <c r="CT11" s="525"/>
      <c r="CU11" s="525"/>
      <c r="CV11" s="525"/>
      <c r="CW11" s="525"/>
      <c r="CX11" s="525"/>
      <c r="CY11" s="525"/>
      <c r="CZ11" s="525"/>
      <c r="DA11" s="525"/>
      <c r="DB11" s="525"/>
      <c r="DC11" s="525"/>
      <c r="DD11" s="525"/>
      <c r="DE11" s="525"/>
      <c r="DF11" s="525"/>
      <c r="DG11" s="525"/>
      <c r="DH11" s="525"/>
      <c r="DI11" s="525"/>
      <c r="DJ11" s="525"/>
      <c r="DK11" s="525"/>
      <c r="DL11" s="525"/>
      <c r="DM11" s="525"/>
      <c r="DN11" s="525"/>
      <c r="DO11" s="525"/>
      <c r="DP11" s="525"/>
      <c r="DQ11" s="525"/>
      <c r="DR11" s="525"/>
      <c r="DS11" s="525"/>
      <c r="DT11" s="525"/>
      <c r="DU11" s="525"/>
      <c r="DV11" s="525"/>
      <c r="DW11" s="525"/>
      <c r="DX11" s="525"/>
      <c r="DY11" s="525"/>
      <c r="DZ11" s="525"/>
      <c r="EA11" s="525"/>
      <c r="EB11" s="525"/>
      <c r="EC11" s="525"/>
      <c r="ED11" s="525"/>
      <c r="EE11" s="525"/>
      <c r="EF11" s="525"/>
      <c r="EG11" s="525"/>
      <c r="EH11" s="525"/>
      <c r="EI11" s="525"/>
      <c r="EJ11" s="525"/>
      <c r="EK11" s="525"/>
      <c r="EL11" s="525"/>
      <c r="EM11" s="525"/>
      <c r="EN11" s="525"/>
      <c r="EO11" s="525"/>
      <c r="EP11" s="525"/>
      <c r="EQ11" s="525"/>
      <c r="ER11" s="525"/>
      <c r="ES11" s="525"/>
      <c r="ET11" s="525"/>
      <c r="EU11" s="525"/>
      <c r="EV11" s="525"/>
      <c r="EW11" s="525"/>
      <c r="EX11" s="525"/>
      <c r="EY11" s="525"/>
      <c r="EZ11" s="525"/>
      <c r="FA11" s="525"/>
      <c r="FB11" s="525"/>
      <c r="FC11" s="525"/>
      <c r="FD11" s="525"/>
      <c r="FE11" s="525"/>
      <c r="FF11" s="525"/>
      <c r="FG11" s="525"/>
      <c r="FH11" s="525"/>
      <c r="FI11" s="525"/>
      <c r="FJ11" s="525"/>
      <c r="FK11" s="525"/>
      <c r="FL11" s="525"/>
      <c r="FM11" s="525"/>
      <c r="FN11" s="525"/>
      <c r="FO11" s="525"/>
      <c r="FP11" s="525"/>
      <c r="FQ11" s="525"/>
      <c r="FR11" s="525"/>
      <c r="FS11" s="525"/>
      <c r="FT11" s="525"/>
      <c r="FU11" s="525"/>
      <c r="FV11" s="525"/>
      <c r="FW11" s="525"/>
      <c r="FX11" s="525"/>
      <c r="FY11" s="525"/>
      <c r="FZ11" s="525"/>
      <c r="GA11" s="525"/>
      <c r="GB11" s="525"/>
      <c r="GC11" s="525"/>
      <c r="GD11" s="525"/>
      <c r="GE11" s="525"/>
      <c r="GF11" s="525"/>
      <c r="GG11" s="525"/>
      <c r="GH11" s="525"/>
      <c r="GI11" s="525"/>
      <c r="GJ11" s="525"/>
      <c r="GK11" s="525"/>
      <c r="GL11" s="525"/>
      <c r="GM11" s="525"/>
      <c r="GN11" s="525"/>
      <c r="GO11" s="525"/>
      <c r="GP11" s="525"/>
      <c r="GQ11" s="525"/>
      <c r="GR11" s="525"/>
      <c r="GS11" s="525"/>
      <c r="GT11" s="525"/>
      <c r="GU11" s="525"/>
      <c r="GV11" s="525"/>
      <c r="GW11" s="525"/>
      <c r="GX11" s="525"/>
      <c r="GY11" s="525"/>
      <c r="GZ11" s="525"/>
      <c r="HA11" s="525"/>
      <c r="HB11" s="525"/>
      <c r="HC11" s="525"/>
      <c r="HD11" s="525"/>
      <c r="HE11" s="525"/>
      <c r="HF11" s="525"/>
      <c r="HG11" s="525"/>
      <c r="HH11" s="525"/>
      <c r="HI11" s="525"/>
      <c r="HJ11" s="525"/>
      <c r="HK11" s="525"/>
      <c r="HL11" s="525"/>
      <c r="HM11" s="525"/>
      <c r="HN11" s="525"/>
      <c r="HO11" s="525"/>
      <c r="HP11" s="525"/>
      <c r="HQ11" s="525"/>
      <c r="HR11" s="525"/>
      <c r="HS11" s="525"/>
      <c r="HT11" s="525"/>
      <c r="HU11" s="525"/>
      <c r="HV11" s="525"/>
      <c r="HW11" s="525"/>
      <c r="HX11" s="525"/>
      <c r="HY11" s="525"/>
      <c r="HZ11" s="525"/>
      <c r="IA11" s="525"/>
      <c r="IB11" s="525"/>
      <c r="IC11" s="525"/>
      <c r="ID11" s="525"/>
      <c r="IE11" s="525"/>
      <c r="IF11" s="525"/>
      <c r="IG11" s="525"/>
      <c r="IH11" s="525"/>
      <c r="II11" s="525"/>
      <c r="IJ11" s="525"/>
      <c r="IK11" s="525"/>
      <c r="IL11" s="525"/>
      <c r="IM11" s="525"/>
      <c r="IN11" s="525"/>
      <c r="IO11" s="525"/>
      <c r="IP11" s="525"/>
      <c r="IQ11" s="525"/>
      <c r="IR11" s="525"/>
      <c r="IS11" s="525"/>
      <c r="IT11" s="525"/>
      <c r="IU11" s="525"/>
      <c r="IV11" s="525"/>
      <c r="IW11" s="525"/>
      <c r="IX11" s="525"/>
      <c r="IY11" s="525"/>
      <c r="IZ11" s="525"/>
      <c r="JA11" s="525"/>
      <c r="JB11" s="525"/>
      <c r="JC11" s="525"/>
      <c r="JD11" s="525"/>
      <c r="JE11" s="525"/>
      <c r="JF11" s="525"/>
      <c r="JG11" s="525"/>
      <c r="JH11" s="525"/>
      <c r="JI11" s="525"/>
      <c r="JJ11" s="525"/>
      <c r="JK11" s="525"/>
      <c r="JL11" s="525"/>
      <c r="JM11" s="525"/>
      <c r="JN11" s="525"/>
      <c r="JO11" s="525"/>
      <c r="JP11" s="525"/>
      <c r="JQ11" s="525"/>
      <c r="JR11" s="525"/>
      <c r="JS11" s="525"/>
      <c r="JT11" s="525"/>
      <c r="JU11" s="525"/>
      <c r="JV11" s="525"/>
      <c r="JW11" s="525"/>
      <c r="JX11" s="525"/>
      <c r="JY11" s="525"/>
      <c r="JZ11" s="525"/>
      <c r="KA11" s="525"/>
      <c r="KB11" s="525"/>
      <c r="KC11" s="525"/>
      <c r="KD11" s="525"/>
      <c r="KE11" s="525"/>
      <c r="KF11" s="525"/>
      <c r="KG11" s="525"/>
      <c r="KH11" s="525"/>
      <c r="KI11" s="525"/>
      <c r="KJ11" s="525"/>
      <c r="KK11" s="525"/>
      <c r="KL11" s="525"/>
      <c r="KM11" s="525"/>
      <c r="KN11" s="525"/>
      <c r="KO11" s="525"/>
      <c r="KP11" s="525"/>
      <c r="KQ11" s="525"/>
      <c r="KR11" s="525"/>
      <c r="KS11" s="525"/>
      <c r="KT11" s="525"/>
      <c r="KU11" s="525"/>
      <c r="KV11" s="525"/>
      <c r="KW11" s="525"/>
      <c r="KX11" s="525"/>
      <c r="KY11" s="525"/>
      <c r="KZ11" s="525"/>
      <c r="LA11" s="525"/>
      <c r="LB11" s="525"/>
      <c r="LC11" s="525"/>
      <c r="LD11" s="525"/>
      <c r="LE11" s="525"/>
      <c r="LF11" s="525"/>
      <c r="LG11" s="525"/>
      <c r="LH11" s="525"/>
      <c r="LI11" s="525"/>
      <c r="LJ11" s="525"/>
      <c r="LK11" s="525"/>
      <c r="LL11" s="525"/>
      <c r="LM11" s="525"/>
      <c r="LN11" s="525"/>
      <c r="LO11" s="525"/>
      <c r="LP11" s="525"/>
      <c r="LQ11" s="525"/>
      <c r="LR11" s="525"/>
      <c r="LS11" s="525"/>
      <c r="LT11" s="525"/>
      <c r="LU11" s="525"/>
      <c r="LV11" s="525"/>
      <c r="LW11" s="525"/>
      <c r="LX11" s="525"/>
      <c r="LY11" s="525"/>
      <c r="LZ11" s="525"/>
      <c r="MA11" s="525"/>
      <c r="MB11" s="525"/>
      <c r="MC11" s="525"/>
      <c r="MD11" s="525"/>
      <c r="ME11" s="525"/>
      <c r="MF11" s="525"/>
      <c r="MG11" s="525"/>
      <c r="MH11" s="525"/>
      <c r="MI11" s="525"/>
      <c r="MJ11" s="525"/>
      <c r="MK11" s="525"/>
      <c r="ML11" s="525"/>
      <c r="MM11" s="525"/>
      <c r="MN11" s="525"/>
      <c r="MO11" s="525"/>
      <c r="MP11" s="525"/>
    </row>
    <row r="12" spans="1:354" x14ac:dyDescent="0.25">
      <c r="A12" s="525" t="s">
        <v>55</v>
      </c>
      <c r="B12" s="525">
        <v>1999</v>
      </c>
      <c r="C12" s="525">
        <v>1999.0625</v>
      </c>
      <c r="D12" s="525">
        <v>1999.125</v>
      </c>
      <c r="E12" s="525">
        <v>1999.1875</v>
      </c>
      <c r="F12" s="525">
        <v>1999.25</v>
      </c>
      <c r="G12" s="525">
        <v>1999.3125</v>
      </c>
      <c r="H12" s="525">
        <v>1999.375</v>
      </c>
      <c r="I12" s="525">
        <v>1999.4375</v>
      </c>
      <c r="J12" s="525">
        <v>1999.5</v>
      </c>
      <c r="K12" s="525">
        <v>1999.5625</v>
      </c>
      <c r="L12" s="525">
        <v>1999.625</v>
      </c>
      <c r="M12" s="525">
        <v>1999.6875</v>
      </c>
      <c r="N12" s="525">
        <v>1999.75</v>
      </c>
      <c r="O12" s="525">
        <v>1999.8125</v>
      </c>
      <c r="P12" s="525">
        <v>1999.875</v>
      </c>
      <c r="Q12" s="525">
        <v>1999.9375</v>
      </c>
      <c r="R12" s="525">
        <v>2000</v>
      </c>
      <c r="S12" s="525">
        <v>2000.0625</v>
      </c>
      <c r="T12" s="525">
        <v>2000.125</v>
      </c>
      <c r="U12" s="525">
        <v>2000.1875</v>
      </c>
      <c r="V12" s="525">
        <v>2000.25</v>
      </c>
      <c r="W12" s="525">
        <v>2000.3125</v>
      </c>
      <c r="X12" s="525">
        <v>2000.375</v>
      </c>
      <c r="Y12" s="525">
        <v>2000.4375</v>
      </c>
      <c r="Z12" s="525">
        <v>2000.5</v>
      </c>
      <c r="AA12" s="525">
        <v>2000.5625</v>
      </c>
      <c r="AB12" s="525">
        <v>2000.625</v>
      </c>
      <c r="AC12" s="525">
        <v>2000.6875</v>
      </c>
      <c r="AD12" s="525">
        <v>2000.75</v>
      </c>
      <c r="AE12" s="525">
        <v>2000.8125</v>
      </c>
      <c r="AF12" s="525">
        <v>2000.875</v>
      </c>
      <c r="AG12" s="525">
        <v>2000.9375</v>
      </c>
      <c r="AH12" s="525">
        <v>2001</v>
      </c>
      <c r="AI12" s="525">
        <v>2001.0625</v>
      </c>
      <c r="AJ12" s="525">
        <v>2001.125</v>
      </c>
      <c r="AK12" s="525">
        <v>2001.1875</v>
      </c>
      <c r="AL12" s="525">
        <v>2001.25</v>
      </c>
      <c r="AM12" s="525">
        <v>2001.3125</v>
      </c>
      <c r="AN12" s="525">
        <v>2001.375</v>
      </c>
      <c r="AO12" s="525">
        <v>2001.4375</v>
      </c>
      <c r="AP12" s="525">
        <v>2001.5</v>
      </c>
      <c r="AQ12" s="525">
        <v>2001.5625</v>
      </c>
      <c r="AR12" s="525">
        <v>2001.625</v>
      </c>
      <c r="AS12" s="525">
        <v>2001.6875</v>
      </c>
      <c r="AT12" s="525">
        <v>2001.75</v>
      </c>
      <c r="AU12" s="525">
        <v>2001.8125</v>
      </c>
      <c r="AV12" s="525">
        <v>2001.875</v>
      </c>
      <c r="AW12" s="525">
        <v>2001.9375</v>
      </c>
      <c r="AX12" s="238">
        <v>2002</v>
      </c>
      <c r="AY12" s="525">
        <v>2002.0625</v>
      </c>
      <c r="AZ12" s="525">
        <v>2002.125</v>
      </c>
      <c r="BA12" s="525">
        <v>2002.1875</v>
      </c>
      <c r="BB12" s="525">
        <v>2002.25</v>
      </c>
      <c r="BC12" s="525">
        <v>2002.3125</v>
      </c>
      <c r="BD12" s="525">
        <v>2002.375</v>
      </c>
      <c r="BE12" s="525">
        <v>2002.4375</v>
      </c>
      <c r="BF12" s="525">
        <v>2002.5</v>
      </c>
      <c r="BG12" s="525">
        <v>2002.5625</v>
      </c>
      <c r="BH12" s="525">
        <v>2002.625</v>
      </c>
      <c r="BI12" s="525">
        <v>2002.6875</v>
      </c>
      <c r="BJ12" s="525">
        <v>2002.75</v>
      </c>
      <c r="BK12" s="525">
        <v>2002.8125</v>
      </c>
      <c r="BL12" s="525">
        <v>2002.875</v>
      </c>
      <c r="BM12" s="525">
        <v>2002.9375</v>
      </c>
      <c r="BN12" s="525">
        <v>2003</v>
      </c>
      <c r="BO12" s="525">
        <v>2003.0625</v>
      </c>
      <c r="BP12" s="525">
        <v>2003.125</v>
      </c>
      <c r="BQ12" s="525">
        <v>2003.1875</v>
      </c>
      <c r="BR12" s="525">
        <v>2003.25</v>
      </c>
      <c r="BS12" s="525">
        <v>2003.3125</v>
      </c>
      <c r="BT12" s="525">
        <v>2003.375</v>
      </c>
      <c r="BU12" s="525">
        <v>2003.4375</v>
      </c>
      <c r="BV12" s="525">
        <v>2003.5</v>
      </c>
      <c r="BW12" s="525">
        <v>2003.5625</v>
      </c>
      <c r="BX12" s="525">
        <v>2003.625</v>
      </c>
      <c r="BY12" s="525">
        <v>2003.6875</v>
      </c>
      <c r="BZ12" s="525">
        <v>2003.75</v>
      </c>
      <c r="CA12" s="525">
        <v>2003.8125</v>
      </c>
      <c r="CB12" s="525">
        <v>2003.875</v>
      </c>
      <c r="CC12" s="525">
        <v>2003.9375</v>
      </c>
      <c r="CD12" s="525">
        <v>2004</v>
      </c>
      <c r="CE12" s="525">
        <v>2004.0625</v>
      </c>
      <c r="CF12" s="525">
        <v>2004.125</v>
      </c>
      <c r="CG12" s="525">
        <v>2004.1875</v>
      </c>
      <c r="CH12" s="525">
        <v>2004.25</v>
      </c>
      <c r="CI12" s="525">
        <v>2004.3125</v>
      </c>
      <c r="CJ12" s="525">
        <v>2004.375</v>
      </c>
      <c r="CK12" s="525">
        <v>2004.4375</v>
      </c>
      <c r="CL12" s="525">
        <v>2004.5</v>
      </c>
      <c r="CM12" s="525">
        <v>2004.5625</v>
      </c>
      <c r="CN12" s="525">
        <v>2004.625</v>
      </c>
      <c r="CO12" s="525">
        <v>2004.6875</v>
      </c>
      <c r="CP12" s="525">
        <v>2004.75</v>
      </c>
      <c r="CQ12" s="525">
        <v>2004.8125</v>
      </c>
      <c r="CR12" s="525">
        <v>2004.875</v>
      </c>
      <c r="CS12" s="525">
        <v>2004.9375</v>
      </c>
      <c r="CT12" s="525">
        <v>2005</v>
      </c>
      <c r="CU12" s="525">
        <v>2005.0625</v>
      </c>
      <c r="CV12" s="525">
        <v>2005.125</v>
      </c>
      <c r="CW12" s="525">
        <v>2005.1875</v>
      </c>
      <c r="CX12" s="525">
        <v>2005.25</v>
      </c>
      <c r="CY12" s="525">
        <v>2005.3125</v>
      </c>
      <c r="CZ12" s="525">
        <v>2005.375</v>
      </c>
      <c r="DA12" s="525">
        <v>2005.4375</v>
      </c>
      <c r="DB12" s="525">
        <v>2005.5</v>
      </c>
      <c r="DC12" s="525">
        <v>2005.5625</v>
      </c>
      <c r="DD12" s="525">
        <v>2005.625</v>
      </c>
      <c r="DE12" s="525">
        <v>2005.6875</v>
      </c>
      <c r="DF12" s="525">
        <v>2005.75</v>
      </c>
      <c r="DG12" s="525">
        <v>2005.8125</v>
      </c>
      <c r="DH12" s="525">
        <v>2005.875</v>
      </c>
      <c r="DI12" s="525">
        <v>2005.9375</v>
      </c>
      <c r="DJ12" s="525">
        <v>2006</v>
      </c>
      <c r="DK12" s="525">
        <v>2006.0625</v>
      </c>
      <c r="DL12" s="525">
        <v>2006.125</v>
      </c>
      <c r="DM12" s="525">
        <v>2006.1875</v>
      </c>
      <c r="DN12" s="525">
        <v>2006.25</v>
      </c>
      <c r="DO12" s="525">
        <v>2006.3125</v>
      </c>
      <c r="DP12" s="525">
        <v>2006.375</v>
      </c>
      <c r="DQ12" s="525">
        <v>2006.4375</v>
      </c>
      <c r="DR12" s="525">
        <v>2006.5</v>
      </c>
      <c r="DS12" s="525">
        <v>2006.5625</v>
      </c>
      <c r="DT12" s="525">
        <v>2006.625</v>
      </c>
      <c r="DU12" s="525">
        <v>2006.6875</v>
      </c>
      <c r="DV12" s="525">
        <v>2006.75</v>
      </c>
      <c r="DW12" s="525">
        <v>2006.8125</v>
      </c>
      <c r="DX12" s="525">
        <v>2006.875</v>
      </c>
      <c r="DY12" s="525">
        <v>2006.9375</v>
      </c>
      <c r="DZ12" s="525">
        <v>2007</v>
      </c>
      <c r="EA12" s="525">
        <v>2007.0625</v>
      </c>
      <c r="EB12" s="525">
        <v>2007.125</v>
      </c>
      <c r="EC12" s="525">
        <v>2007.1875</v>
      </c>
      <c r="ED12" s="525">
        <v>2007.25</v>
      </c>
      <c r="EE12" s="525">
        <v>2007.3125</v>
      </c>
      <c r="EF12" s="525">
        <v>2007.375</v>
      </c>
      <c r="EG12" s="525">
        <v>2007.4375</v>
      </c>
      <c r="EH12" s="525">
        <v>2007.5</v>
      </c>
      <c r="EI12" s="525">
        <v>2007.5625</v>
      </c>
      <c r="EJ12" s="525">
        <v>2007.625</v>
      </c>
      <c r="EK12" s="525">
        <v>2007.6875</v>
      </c>
      <c r="EL12" s="525">
        <v>2007.75</v>
      </c>
      <c r="EM12" s="525">
        <v>2007.8125</v>
      </c>
      <c r="EN12" s="525">
        <v>2007.875</v>
      </c>
      <c r="EO12" s="525">
        <v>2007.9375</v>
      </c>
      <c r="EP12" s="525">
        <v>2008</v>
      </c>
      <c r="EQ12" s="525">
        <v>2008.0625</v>
      </c>
      <c r="ER12" s="525">
        <v>2008.125</v>
      </c>
      <c r="ES12" s="525">
        <v>2008.1875</v>
      </c>
      <c r="ET12" s="525">
        <v>2008.25</v>
      </c>
      <c r="EU12" s="525">
        <v>2008.3125</v>
      </c>
      <c r="EV12" s="525">
        <v>2008.375</v>
      </c>
      <c r="EW12" s="525">
        <v>2008.4375</v>
      </c>
      <c r="EX12" s="525">
        <v>2008.5</v>
      </c>
      <c r="EY12" s="525">
        <v>2008.5625</v>
      </c>
      <c r="EZ12" s="525">
        <v>2008.625</v>
      </c>
      <c r="FA12" s="525">
        <v>2008.6875</v>
      </c>
      <c r="FB12" s="525">
        <v>2008.75</v>
      </c>
      <c r="FC12" s="525">
        <v>2008.8125</v>
      </c>
      <c r="FD12" s="525">
        <v>2008.875</v>
      </c>
      <c r="FE12" s="525">
        <v>2008.9375</v>
      </c>
      <c r="FF12" s="525">
        <v>2009</v>
      </c>
      <c r="FG12" s="525">
        <v>2009.0625</v>
      </c>
      <c r="FH12" s="525">
        <v>2009.125</v>
      </c>
      <c r="FI12" s="525">
        <v>2009.1875</v>
      </c>
      <c r="FJ12" s="525">
        <v>2009.25</v>
      </c>
      <c r="FK12" s="525">
        <v>2009.3125</v>
      </c>
      <c r="FL12" s="525">
        <v>2009.375</v>
      </c>
      <c r="FM12" s="525">
        <v>2009.4375</v>
      </c>
      <c r="FN12" s="525">
        <v>2009.5</v>
      </c>
      <c r="FO12" s="525">
        <v>2009.5625</v>
      </c>
      <c r="FP12" s="525">
        <v>2009.625</v>
      </c>
      <c r="FQ12" s="525">
        <v>2009.6875</v>
      </c>
      <c r="FR12" s="525">
        <v>2009.75</v>
      </c>
      <c r="FS12" s="525">
        <v>2009.8125</v>
      </c>
      <c r="FT12" s="525">
        <v>2009.875</v>
      </c>
      <c r="FU12" s="525">
        <v>2009.9375</v>
      </c>
      <c r="FV12" s="525">
        <v>2010</v>
      </c>
      <c r="FW12" s="525">
        <v>2010.0625</v>
      </c>
      <c r="FX12" s="525">
        <v>2010.125</v>
      </c>
      <c r="FY12" s="525">
        <v>2010.1875</v>
      </c>
      <c r="FZ12" s="525">
        <v>2010.25</v>
      </c>
      <c r="GA12" s="525">
        <v>2010.3125</v>
      </c>
      <c r="GB12" s="525">
        <v>2010.375</v>
      </c>
      <c r="GC12" s="525">
        <v>2010.4375</v>
      </c>
      <c r="GD12" s="525">
        <v>2010.5</v>
      </c>
      <c r="GE12" s="525">
        <v>2010.5625</v>
      </c>
      <c r="GF12" s="525">
        <v>2010.625</v>
      </c>
      <c r="GG12" s="525">
        <v>2010.6875</v>
      </c>
      <c r="GH12" s="525">
        <v>2010.75</v>
      </c>
      <c r="GI12" s="525">
        <v>2010.8125</v>
      </c>
      <c r="GJ12" s="525">
        <v>2010.875</v>
      </c>
      <c r="GK12" s="525">
        <v>2010.9375</v>
      </c>
      <c r="GL12" s="525">
        <v>2011</v>
      </c>
      <c r="GM12" s="525">
        <v>2011.0625</v>
      </c>
      <c r="GN12" s="525">
        <v>2011.125</v>
      </c>
      <c r="GO12" s="525">
        <v>2011.1875</v>
      </c>
      <c r="GP12" s="525">
        <v>2011.25</v>
      </c>
      <c r="GQ12" s="525">
        <v>2011.3125</v>
      </c>
      <c r="GR12" s="525">
        <v>2011.375</v>
      </c>
      <c r="GS12" s="525">
        <v>2011.4375</v>
      </c>
      <c r="GT12" s="525">
        <v>2011.5</v>
      </c>
      <c r="GU12" s="525">
        <v>2011.5625</v>
      </c>
      <c r="GV12" s="525">
        <v>2011.625</v>
      </c>
      <c r="GW12" s="525">
        <v>2011.6875</v>
      </c>
      <c r="GX12" s="525">
        <v>2011.75</v>
      </c>
      <c r="GY12" s="525">
        <v>2011.8125</v>
      </c>
      <c r="GZ12" s="525">
        <v>2011.875</v>
      </c>
      <c r="HA12" s="525">
        <v>2011.9375</v>
      </c>
      <c r="HB12" s="525">
        <v>2012</v>
      </c>
      <c r="HC12" s="525">
        <v>2012.0625</v>
      </c>
      <c r="HD12" s="525">
        <v>2012.125</v>
      </c>
      <c r="HE12" s="525">
        <v>2012.1875</v>
      </c>
      <c r="HF12" s="525">
        <v>2012.25</v>
      </c>
      <c r="HG12" s="525">
        <v>2012.3125</v>
      </c>
      <c r="HH12" s="525">
        <v>2012.375</v>
      </c>
      <c r="HI12" s="525">
        <v>2012.4375</v>
      </c>
      <c r="HJ12" s="525">
        <v>2012.5</v>
      </c>
      <c r="HK12" s="525">
        <v>2012.5625</v>
      </c>
      <c r="HL12" s="525">
        <v>2012.625</v>
      </c>
      <c r="HM12" s="525">
        <v>2012.6875</v>
      </c>
      <c r="HN12" s="525">
        <v>2012.75</v>
      </c>
      <c r="HO12" s="525">
        <v>2012.8125</v>
      </c>
      <c r="HP12" s="525">
        <v>2012.875</v>
      </c>
      <c r="HQ12" s="525">
        <v>2012.9375</v>
      </c>
      <c r="HR12" s="525">
        <v>2013</v>
      </c>
      <c r="HS12" s="525">
        <v>2013.0625</v>
      </c>
      <c r="HT12" s="525">
        <v>2013.125</v>
      </c>
      <c r="HU12" s="525">
        <v>2013.1875</v>
      </c>
      <c r="HV12" s="525">
        <v>2013.25</v>
      </c>
      <c r="HW12" s="525">
        <v>2013.3125</v>
      </c>
      <c r="HX12" s="525">
        <v>2013.375</v>
      </c>
      <c r="HY12" s="525">
        <v>2013.4375</v>
      </c>
      <c r="HZ12" s="525">
        <v>2013.5</v>
      </c>
      <c r="IA12" s="525">
        <v>2013.5625</v>
      </c>
      <c r="IB12" s="525">
        <v>2013.625</v>
      </c>
      <c r="IC12" s="525">
        <v>2013.6875</v>
      </c>
      <c r="ID12" s="525">
        <v>2013.75</v>
      </c>
      <c r="IE12" s="525">
        <v>2013.8125</v>
      </c>
      <c r="IF12" s="525">
        <v>2013.875</v>
      </c>
      <c r="IG12" s="525">
        <v>2013.9375</v>
      </c>
      <c r="IH12" s="525">
        <v>2014</v>
      </c>
      <c r="II12" s="525">
        <v>2014.0625</v>
      </c>
      <c r="IJ12" s="525">
        <v>2014.125</v>
      </c>
      <c r="IK12" s="525">
        <v>2014.1875</v>
      </c>
      <c r="IL12" s="525">
        <v>2014.25</v>
      </c>
      <c r="IM12" s="525">
        <v>2014.3125</v>
      </c>
      <c r="IN12" s="525">
        <v>2014.375</v>
      </c>
      <c r="IO12" s="525">
        <v>2014.4375</v>
      </c>
      <c r="IP12" s="525">
        <v>2014.5</v>
      </c>
      <c r="IQ12" s="525">
        <v>2014.5625</v>
      </c>
      <c r="IR12" s="525">
        <v>2014.625</v>
      </c>
      <c r="IS12" s="525">
        <v>2014.6875</v>
      </c>
      <c r="IT12" s="525">
        <v>2014.75</v>
      </c>
      <c r="IU12" s="525">
        <v>2014.8125</v>
      </c>
      <c r="IV12" s="525">
        <v>2014.875</v>
      </c>
      <c r="IW12" s="525">
        <v>2014.9375</v>
      </c>
      <c r="IX12" s="525">
        <v>2015</v>
      </c>
      <c r="IY12" s="525">
        <v>2015.0625</v>
      </c>
      <c r="IZ12" s="525">
        <v>2015.125</v>
      </c>
      <c r="JA12" s="525">
        <v>2015.1875</v>
      </c>
      <c r="JB12" s="525">
        <v>2015.25</v>
      </c>
      <c r="JC12" s="525">
        <v>2015.3125</v>
      </c>
      <c r="JD12" s="525">
        <v>2015.375</v>
      </c>
      <c r="JE12" s="525">
        <v>2015.4375</v>
      </c>
      <c r="JF12" s="525">
        <v>2015.5</v>
      </c>
      <c r="JG12" s="525">
        <v>2015.5625</v>
      </c>
      <c r="JH12" s="525">
        <v>2015.625</v>
      </c>
      <c r="JI12" s="525">
        <v>2015.6875</v>
      </c>
      <c r="JJ12" s="525">
        <v>2015.75</v>
      </c>
      <c r="JK12" s="525">
        <v>2015.8125</v>
      </c>
      <c r="JL12" s="525">
        <v>2015.875</v>
      </c>
      <c r="JM12" s="525">
        <v>2015.9375</v>
      </c>
      <c r="JN12" s="525">
        <v>2016</v>
      </c>
      <c r="JO12" s="525">
        <v>2016.0625</v>
      </c>
      <c r="JP12" s="525">
        <v>2016.125</v>
      </c>
      <c r="JQ12" s="525">
        <v>2016.1875</v>
      </c>
      <c r="JR12" s="525">
        <v>2016.25</v>
      </c>
      <c r="JS12" s="525">
        <v>2016.3125</v>
      </c>
      <c r="JT12" s="525">
        <v>2016.375</v>
      </c>
      <c r="JU12" s="525">
        <v>2016.4375</v>
      </c>
      <c r="JV12" s="525">
        <v>2016.5</v>
      </c>
      <c r="JW12" s="525">
        <v>2016.5625</v>
      </c>
      <c r="JX12" s="525">
        <v>2016.625</v>
      </c>
      <c r="JY12" s="525">
        <v>2016.6875</v>
      </c>
      <c r="JZ12" s="525">
        <v>2016.75</v>
      </c>
      <c r="KA12" s="525">
        <v>2016.8125</v>
      </c>
      <c r="KB12" s="525">
        <v>2016.875</v>
      </c>
      <c r="KC12" s="525">
        <v>2016.9375</v>
      </c>
      <c r="KD12" s="525">
        <v>2017</v>
      </c>
      <c r="KE12" s="525">
        <v>2017.0625</v>
      </c>
      <c r="KF12" s="525">
        <v>2017.125</v>
      </c>
      <c r="KG12" s="525">
        <v>2017.1875</v>
      </c>
      <c r="KH12" s="525">
        <v>2017.25</v>
      </c>
      <c r="KI12" s="525">
        <v>2017.3125</v>
      </c>
      <c r="KJ12" s="525">
        <v>2017.375</v>
      </c>
      <c r="KK12" s="525">
        <v>2017.4375</v>
      </c>
      <c r="KL12" s="525">
        <v>2017.5</v>
      </c>
      <c r="KM12" s="525">
        <v>2017.5625</v>
      </c>
      <c r="KN12" s="525">
        <v>2017.625</v>
      </c>
      <c r="KO12" s="525">
        <v>2017.6875</v>
      </c>
      <c r="KP12" s="525">
        <v>2017.75</v>
      </c>
      <c r="KQ12" s="525">
        <v>2017.8125</v>
      </c>
      <c r="KR12" s="525">
        <v>2017.875</v>
      </c>
      <c r="KS12" s="525">
        <v>2017.9375</v>
      </c>
      <c r="KT12" s="525">
        <v>2018</v>
      </c>
      <c r="KU12" s="525">
        <v>2018.0625</v>
      </c>
      <c r="KV12" s="525">
        <v>2018.125</v>
      </c>
      <c r="KW12" s="525">
        <v>2018.1875</v>
      </c>
      <c r="KX12" s="525">
        <v>2018.25</v>
      </c>
      <c r="KY12" s="525">
        <v>2018.3125</v>
      </c>
      <c r="KZ12" s="525">
        <v>2018.375</v>
      </c>
      <c r="LA12" s="525">
        <v>2018.4375</v>
      </c>
      <c r="LB12" s="525">
        <v>2018.5</v>
      </c>
      <c r="LC12" s="525">
        <v>2018.5625</v>
      </c>
      <c r="LD12" s="525">
        <v>2018.625</v>
      </c>
      <c r="LE12" s="525">
        <v>2018.6875</v>
      </c>
      <c r="LF12" s="525">
        <v>2018.75</v>
      </c>
      <c r="LG12" s="525">
        <v>2018.8125</v>
      </c>
      <c r="LH12" s="525">
        <v>2018.875</v>
      </c>
      <c r="LI12" s="525">
        <v>2018.9375</v>
      </c>
      <c r="LJ12" s="525">
        <v>2019</v>
      </c>
      <c r="LK12" s="525">
        <v>2019.0625</v>
      </c>
      <c r="LL12" s="525">
        <v>2019.125</v>
      </c>
      <c r="LM12" s="525">
        <v>2019.1875</v>
      </c>
      <c r="LN12" s="525">
        <v>2019.25</v>
      </c>
      <c r="LO12" s="525">
        <v>2019.3125</v>
      </c>
      <c r="LP12" s="525">
        <v>2019.375</v>
      </c>
      <c r="LQ12" s="525">
        <v>2019.4375</v>
      </c>
      <c r="LR12" s="525">
        <v>2019.5</v>
      </c>
      <c r="LS12" s="525">
        <v>2019.5625</v>
      </c>
      <c r="LT12" s="525">
        <v>2019.625</v>
      </c>
      <c r="LU12" s="525">
        <v>2019.6875</v>
      </c>
      <c r="LV12" s="525">
        <v>2019.75</v>
      </c>
      <c r="LW12" s="525">
        <v>2019.8125</v>
      </c>
      <c r="LX12" s="525">
        <v>2019.875</v>
      </c>
      <c r="LY12" s="525">
        <v>2019.9375</v>
      </c>
      <c r="LZ12" s="525">
        <v>2020</v>
      </c>
      <c r="MA12" s="525">
        <v>2020.0625</v>
      </c>
      <c r="MB12" s="525">
        <v>2020.125</v>
      </c>
      <c r="MC12" s="525">
        <v>2020.1875</v>
      </c>
      <c r="MD12" s="525">
        <v>2020.25</v>
      </c>
      <c r="ME12" s="525">
        <v>2020.3125</v>
      </c>
      <c r="MF12" s="525">
        <v>2020.375</v>
      </c>
      <c r="MG12" s="525">
        <v>2020.4375</v>
      </c>
      <c r="MH12" s="525">
        <v>2020.5</v>
      </c>
      <c r="MI12" s="525">
        <v>2020.5625</v>
      </c>
      <c r="MJ12" s="525">
        <v>2020.625</v>
      </c>
      <c r="MK12" s="525">
        <v>2020.6875</v>
      </c>
      <c r="ML12" s="525">
        <v>2020.75</v>
      </c>
      <c r="MM12" s="525">
        <v>2020.8125</v>
      </c>
      <c r="MN12" s="525">
        <v>2020.875</v>
      </c>
      <c r="MO12" s="23">
        <v>2020.9375</v>
      </c>
      <c r="MP12" s="525">
        <v>2021</v>
      </c>
    </row>
    <row r="13" spans="1:354" ht="30" x14ac:dyDescent="0.25">
      <c r="A13" s="504" t="s">
        <v>480</v>
      </c>
      <c r="B13" s="505">
        <f t="shared" ref="B13:BK13" si="24">_xlfn.FORECAST.LINEAR(B12,B8:B9,B6:B7)</f>
        <v>9771065.5693643093</v>
      </c>
      <c r="C13" s="505">
        <f t="shared" si="24"/>
        <v>9796062.3848766088</v>
      </c>
      <c r="D13" s="505">
        <f t="shared" si="24"/>
        <v>9821061.5994210243</v>
      </c>
      <c r="E13" s="505">
        <f t="shared" si="24"/>
        <v>9846062.0144892931</v>
      </c>
      <c r="F13" s="505">
        <f t="shared" si="24"/>
        <v>9871062.4295575619</v>
      </c>
      <c r="G13" s="505">
        <f t="shared" si="24"/>
        <v>9896062.8446258307</v>
      </c>
      <c r="H13" s="505">
        <f t="shared" si="24"/>
        <v>9921063.2596939802</v>
      </c>
      <c r="I13" s="505">
        <f t="shared" si="24"/>
        <v>9946063.6747620106</v>
      </c>
      <c r="J13" s="505">
        <f t="shared" si="24"/>
        <v>9971064.0898302794</v>
      </c>
      <c r="K13" s="505">
        <f t="shared" si="24"/>
        <v>9996064.5048985481</v>
      </c>
      <c r="L13" s="505">
        <f t="shared" si="24"/>
        <v>10021064.919966817</v>
      </c>
      <c r="M13" s="505">
        <f t="shared" si="24"/>
        <v>10046065.335035205</v>
      </c>
      <c r="N13" s="505">
        <f t="shared" si="24"/>
        <v>10071065.750103354</v>
      </c>
      <c r="O13" s="505">
        <f t="shared" si="24"/>
        <v>10096066.165171504</v>
      </c>
      <c r="P13" s="505">
        <f t="shared" si="24"/>
        <v>10121066.580239773</v>
      </c>
      <c r="Q13" s="505">
        <f t="shared" si="24"/>
        <v>10146066.995308042</v>
      </c>
      <c r="R13" s="505">
        <f t="shared" si="24"/>
        <v>10171067.41037631</v>
      </c>
      <c r="S13" s="505">
        <f t="shared" si="24"/>
        <v>10196067.82544446</v>
      </c>
      <c r="T13" s="505">
        <f t="shared" si="24"/>
        <v>10221068.240512609</v>
      </c>
      <c r="U13" s="505">
        <f t="shared" si="24"/>
        <v>10246068.655580878</v>
      </c>
      <c r="V13" s="505">
        <f t="shared" si="24"/>
        <v>10271069.070649147</v>
      </c>
      <c r="W13" s="505">
        <f t="shared" si="24"/>
        <v>10296069.485717416</v>
      </c>
      <c r="X13" s="505">
        <f t="shared" si="24"/>
        <v>10321069.900785565</v>
      </c>
      <c r="Y13" s="505">
        <f t="shared" si="24"/>
        <v>10346070.315853834</v>
      </c>
      <c r="Z13" s="505">
        <f t="shared" si="24"/>
        <v>10371070.730922103</v>
      </c>
      <c r="AA13" s="505">
        <f t="shared" si="24"/>
        <v>10396071.145990372</v>
      </c>
      <c r="AB13" s="505">
        <f t="shared" si="24"/>
        <v>10421071.56105864</v>
      </c>
      <c r="AC13" s="505">
        <f t="shared" si="24"/>
        <v>10446071.97612679</v>
      </c>
      <c r="AD13" s="505">
        <f t="shared" si="24"/>
        <v>10471072.39119494</v>
      </c>
      <c r="AE13" s="505">
        <f t="shared" si="24"/>
        <v>10496072.806263208</v>
      </c>
      <c r="AF13" s="505">
        <f t="shared" si="24"/>
        <v>10521073.221331477</v>
      </c>
      <c r="AG13" s="505">
        <f t="shared" si="24"/>
        <v>10546073.636399627</v>
      </c>
      <c r="AH13" s="505">
        <f t="shared" si="24"/>
        <v>10571074.051467896</v>
      </c>
      <c r="AI13" s="505">
        <f t="shared" si="24"/>
        <v>10596074.466536045</v>
      </c>
      <c r="AJ13" s="505">
        <f t="shared" si="24"/>
        <v>10621074.881604433</v>
      </c>
      <c r="AK13" s="505">
        <f t="shared" si="24"/>
        <v>10646075.296672702</v>
      </c>
      <c r="AL13" s="505">
        <f t="shared" si="24"/>
        <v>10671075.711740971</v>
      </c>
      <c r="AM13" s="505">
        <f t="shared" si="24"/>
        <v>10696076.12680912</v>
      </c>
      <c r="AN13" s="505">
        <f t="shared" si="24"/>
        <v>10721076.54187727</v>
      </c>
      <c r="AO13" s="505">
        <f t="shared" si="24"/>
        <v>10746076.956945539</v>
      </c>
      <c r="AP13" s="505">
        <f t="shared" si="24"/>
        <v>10771077.372013688</v>
      </c>
      <c r="AQ13" s="505">
        <f t="shared" si="24"/>
        <v>10796077.787081957</v>
      </c>
      <c r="AR13" s="505">
        <f t="shared" si="24"/>
        <v>10821078.202150226</v>
      </c>
      <c r="AS13" s="505">
        <f t="shared" si="24"/>
        <v>10846078.617218494</v>
      </c>
      <c r="AT13" s="505">
        <f t="shared" si="24"/>
        <v>10871079.032286644</v>
      </c>
      <c r="AU13" s="505">
        <f t="shared" si="24"/>
        <v>10896079.447354794</v>
      </c>
      <c r="AV13" s="505">
        <f t="shared" si="24"/>
        <v>10921079.862423062</v>
      </c>
      <c r="AW13" s="505">
        <f t="shared" si="24"/>
        <v>11000297.580238342</v>
      </c>
      <c r="AX13" s="505">
        <f t="shared" si="24"/>
        <v>11187952.5060215</v>
      </c>
      <c r="AY13" s="505">
        <f t="shared" si="24"/>
        <v>10680223.298851013</v>
      </c>
      <c r="AZ13" s="505">
        <f t="shared" si="24"/>
        <v>10854169.120262146</v>
      </c>
      <c r="BA13" s="505">
        <f t="shared" si="24"/>
        <v>11230334.789735317</v>
      </c>
      <c r="BB13" s="505">
        <f t="shared" si="24"/>
        <v>11329294.496128559</v>
      </c>
      <c r="BC13" s="505">
        <f t="shared" si="24"/>
        <v>11409706.613172054</v>
      </c>
      <c r="BD13" s="505">
        <f t="shared" si="24"/>
        <v>11201976.06986618</v>
      </c>
      <c r="BE13" s="505">
        <f t="shared" si="24"/>
        <v>11093837.135419846</v>
      </c>
      <c r="BF13" s="505">
        <f t="shared" si="24"/>
        <v>11472926.011261791</v>
      </c>
      <c r="BG13" s="505">
        <f t="shared" si="24"/>
        <v>11479031.232319027</v>
      </c>
      <c r="BH13" s="505">
        <f t="shared" si="24"/>
        <v>11241062.669364929</v>
      </c>
      <c r="BI13" s="505">
        <f t="shared" si="24"/>
        <v>11136738.433113098</v>
      </c>
      <c r="BJ13" s="505">
        <f t="shared" si="24"/>
        <v>11543598.064714432</v>
      </c>
      <c r="BK13" s="505">
        <f t="shared" si="24"/>
        <v>11129532.354896545</v>
      </c>
      <c r="BL13" s="505">
        <f>_xlfn.FORECAST.LINEAR(BL12,BL8:BL9,BL6:BL7)</f>
        <v>11135871.339173317</v>
      </c>
      <c r="BM13" s="505">
        <f>_xlfn.FORECAST.LINEAR(BM12,BM8:BM9,BM6:BM7)</f>
        <v>11265251.675051451</v>
      </c>
      <c r="BN13" s="505">
        <f>_xlfn.FORECAST.LINEAR(BN12,BN8:BN9,BN6:BN7)</f>
        <v>11220424.576824188</v>
      </c>
      <c r="BO13" s="505">
        <f t="shared" ref="BO13:DZ13" si="25">_xlfn.FORECAST.LINEAR(BO12,BO8:BO9,BO6:BO7)</f>
        <v>10670652.447948456</v>
      </c>
      <c r="BP13" s="505">
        <f t="shared" si="25"/>
        <v>10901965.143627167</v>
      </c>
      <c r="BQ13" s="505">
        <f t="shared" si="25"/>
        <v>11301893.772274733</v>
      </c>
      <c r="BR13" s="505">
        <f t="shared" si="25"/>
        <v>11258380.761268616</v>
      </c>
      <c r="BS13" s="505">
        <f t="shared" si="25"/>
        <v>11447680.644575119</v>
      </c>
      <c r="BT13" s="505">
        <f t="shared" si="25"/>
        <v>11428565.030522823</v>
      </c>
      <c r="BU13" s="505">
        <f t="shared" si="25"/>
        <v>11427201.909999847</v>
      </c>
      <c r="BV13" s="505">
        <f t="shared" si="25"/>
        <v>11669556.502795167</v>
      </c>
      <c r="BW13" s="505">
        <f t="shared" si="25"/>
        <v>11669330.95140706</v>
      </c>
      <c r="BX13" s="505">
        <f t="shared" si="25"/>
        <v>11637675.220943928</v>
      </c>
      <c r="BY13" s="505">
        <f t="shared" si="25"/>
        <v>11723282.757047653</v>
      </c>
      <c r="BZ13" s="505">
        <f t="shared" si="25"/>
        <v>12074602.70867157</v>
      </c>
      <c r="CA13" s="505">
        <f t="shared" si="25"/>
        <v>11512139.288925171</v>
      </c>
      <c r="CB13" s="505">
        <f t="shared" si="25"/>
        <v>11628236.71172905</v>
      </c>
      <c r="CC13" s="505">
        <f t="shared" si="25"/>
        <v>11873650.144742966</v>
      </c>
      <c r="CD13" s="505">
        <f t="shared" si="25"/>
        <v>11699709.129537582</v>
      </c>
      <c r="CE13" s="505">
        <f t="shared" si="25"/>
        <v>11405776.049610138</v>
      </c>
      <c r="CF13" s="505">
        <f t="shared" si="25"/>
        <v>11765739.264019012</v>
      </c>
      <c r="CG13" s="505">
        <f t="shared" si="25"/>
        <v>12149331.967333794</v>
      </c>
      <c r="CH13" s="505">
        <f t="shared" si="25"/>
        <v>11927075.768148899</v>
      </c>
      <c r="CI13" s="505">
        <f t="shared" si="25"/>
        <v>11829906.273248196</v>
      </c>
      <c r="CJ13" s="505">
        <f t="shared" si="25"/>
        <v>11983465.04891777</v>
      </c>
      <c r="CK13" s="505">
        <f t="shared" si="25"/>
        <v>12182301.103017807</v>
      </c>
      <c r="CL13" s="505">
        <f t="shared" si="25"/>
        <v>12221259.59760952</v>
      </c>
      <c r="CM13" s="505">
        <f t="shared" si="25"/>
        <v>12362642.468562126</v>
      </c>
      <c r="CN13" s="505">
        <f t="shared" si="25"/>
        <v>12267833.132889748</v>
      </c>
      <c r="CO13" s="505">
        <f t="shared" si="25"/>
        <v>12162760.332964897</v>
      </c>
      <c r="CP13" s="505">
        <f t="shared" si="25"/>
        <v>12272980.624206543</v>
      </c>
      <c r="CQ13" s="505">
        <f t="shared" si="25"/>
        <v>12206571.742402554</v>
      </c>
      <c r="CR13" s="505">
        <f t="shared" si="25"/>
        <v>12322856.389988899</v>
      </c>
      <c r="CS13" s="505">
        <f t="shared" si="25"/>
        <v>12407688.977384567</v>
      </c>
      <c r="CT13" s="505">
        <f t="shared" si="25"/>
        <v>12247243.669271469</v>
      </c>
      <c r="CU13" s="505">
        <f t="shared" si="25"/>
        <v>11902747.465707779</v>
      </c>
      <c r="CV13" s="505">
        <f t="shared" si="25"/>
        <v>12269792.646945953</v>
      </c>
      <c r="CW13" s="505">
        <f t="shared" si="25"/>
        <v>12617536.417575836</v>
      </c>
      <c r="CX13" s="505">
        <f t="shared" si="25"/>
        <v>12216558.474662304</v>
      </c>
      <c r="CY13" s="505">
        <f t="shared" si="25"/>
        <v>12333216.2049613</v>
      </c>
      <c r="CZ13" s="505">
        <f t="shared" si="25"/>
        <v>12454460.955770969</v>
      </c>
      <c r="DA13" s="505">
        <f t="shared" si="25"/>
        <v>12470978.771491051</v>
      </c>
      <c r="DB13" s="505">
        <f t="shared" si="25"/>
        <v>12273754.815273285</v>
      </c>
      <c r="DC13" s="505">
        <f t="shared" si="25"/>
        <v>12452530.488321304</v>
      </c>
      <c r="DD13" s="505">
        <f t="shared" si="25"/>
        <v>12323062.403495789</v>
      </c>
      <c r="DE13" s="505">
        <f t="shared" si="25"/>
        <v>12152111.142438889</v>
      </c>
      <c r="DF13" s="505">
        <f t="shared" si="25"/>
        <v>12205854.534074545</v>
      </c>
      <c r="DG13" s="505">
        <f t="shared" si="25"/>
        <v>12145606.341740847</v>
      </c>
      <c r="DH13" s="505">
        <f t="shared" si="25"/>
        <v>12279154.849475861</v>
      </c>
      <c r="DI13" s="505">
        <f t="shared" si="25"/>
        <v>12646770.539958954</v>
      </c>
      <c r="DJ13" s="505">
        <f t="shared" si="25"/>
        <v>13288326.15802002</v>
      </c>
      <c r="DK13" s="505">
        <f t="shared" si="25"/>
        <v>12749913.276603699</v>
      </c>
      <c r="DL13" s="505">
        <f t="shared" si="25"/>
        <v>13205223.660018921</v>
      </c>
      <c r="DM13" s="505">
        <f t="shared" si="25"/>
        <v>13621480.36423111</v>
      </c>
      <c r="DN13" s="505">
        <f t="shared" si="25"/>
        <v>12968703.721214294</v>
      </c>
      <c r="DO13" s="505">
        <f t="shared" si="25"/>
        <v>13585241.263118744</v>
      </c>
      <c r="DP13" s="505">
        <f t="shared" si="25"/>
        <v>13717460.002303123</v>
      </c>
      <c r="DQ13" s="505">
        <f t="shared" si="25"/>
        <v>13578375.547030449</v>
      </c>
      <c r="DR13" s="505">
        <f t="shared" si="25"/>
        <v>13380681.650741577</v>
      </c>
      <c r="DS13" s="505">
        <f t="shared" si="25"/>
        <v>13903185.985109329</v>
      </c>
      <c r="DT13" s="505">
        <f t="shared" si="25"/>
        <v>13757005.638399124</v>
      </c>
      <c r="DU13" s="505">
        <f t="shared" si="25"/>
        <v>13514825.629073143</v>
      </c>
      <c r="DV13" s="505">
        <f t="shared" si="25"/>
        <v>13747690.206846237</v>
      </c>
      <c r="DW13" s="505">
        <f t="shared" si="25"/>
        <v>13587298.375048637</v>
      </c>
      <c r="DX13" s="505">
        <f t="shared" si="25"/>
        <v>13520329.378696561</v>
      </c>
      <c r="DY13" s="505">
        <f t="shared" si="25"/>
        <v>13622823.095653534</v>
      </c>
      <c r="DZ13" s="505">
        <f t="shared" si="25"/>
        <v>13970243.510803223</v>
      </c>
      <c r="EA13" s="505">
        <f t="shared" ref="EA13:GL13" si="26">_xlfn.FORECAST.LINEAR(EA12,EA8:EA9,EA6:EA7)</f>
        <v>13198054.951740265</v>
      </c>
      <c r="EB13" s="505">
        <f t="shared" si="26"/>
        <v>13576441.259037018</v>
      </c>
      <c r="EC13" s="505">
        <f t="shared" si="26"/>
        <v>14093423.099687576</v>
      </c>
      <c r="ED13" s="505">
        <f t="shared" si="26"/>
        <v>13740254.148742676</v>
      </c>
      <c r="EE13" s="505">
        <f t="shared" si="26"/>
        <v>14141544.735017776</v>
      </c>
      <c r="EF13" s="505">
        <f t="shared" si="26"/>
        <v>14121761.301263809</v>
      </c>
      <c r="EG13" s="505">
        <f t="shared" si="26"/>
        <v>14016176.077354431</v>
      </c>
      <c r="EH13" s="505">
        <f t="shared" si="26"/>
        <v>14159087.639181137</v>
      </c>
      <c r="EI13" s="505">
        <f t="shared" si="26"/>
        <v>14473946.900747299</v>
      </c>
      <c r="EJ13" s="505">
        <f t="shared" si="26"/>
        <v>14062165.649253845</v>
      </c>
      <c r="EK13" s="505">
        <f t="shared" si="26"/>
        <v>13776205.008205414</v>
      </c>
      <c r="EL13" s="505">
        <f t="shared" si="26"/>
        <v>14465374.620847702</v>
      </c>
      <c r="EM13" s="505">
        <f t="shared" si="26"/>
        <v>14093110.401441574</v>
      </c>
      <c r="EN13" s="505">
        <f t="shared" si="26"/>
        <v>13895799.775163174</v>
      </c>
      <c r="EO13" s="505">
        <f t="shared" si="26"/>
        <v>13994960.566373825</v>
      </c>
      <c r="EP13" s="505">
        <f t="shared" si="26"/>
        <v>14511347.985086441</v>
      </c>
      <c r="EQ13" s="505">
        <f t="shared" si="26"/>
        <v>14131136.027696609</v>
      </c>
      <c r="ER13" s="505">
        <f t="shared" si="26"/>
        <v>14173562.404479027</v>
      </c>
      <c r="ES13" s="505">
        <f t="shared" si="26"/>
        <v>14360596.263787985</v>
      </c>
      <c r="ET13" s="505">
        <f t="shared" si="26"/>
        <v>14415201.524218082</v>
      </c>
      <c r="EU13" s="505">
        <f t="shared" si="26"/>
        <v>14518220.232400417</v>
      </c>
      <c r="EV13" s="505">
        <f t="shared" si="26"/>
        <v>14369323.671884537</v>
      </c>
      <c r="EW13" s="505">
        <f t="shared" si="26"/>
        <v>14353768.878782272</v>
      </c>
      <c r="EX13" s="505">
        <f t="shared" si="26"/>
        <v>14855089.402482033</v>
      </c>
      <c r="EY13" s="505">
        <f t="shared" si="26"/>
        <v>14616504.580330849</v>
      </c>
      <c r="EZ13" s="505">
        <f t="shared" si="26"/>
        <v>14454436.185163498</v>
      </c>
      <c r="FA13" s="505">
        <f t="shared" si="26"/>
        <v>14488709.640031815</v>
      </c>
      <c r="FB13" s="505">
        <f t="shared" si="26"/>
        <v>14838221.649078369</v>
      </c>
      <c r="FC13" s="505">
        <f t="shared" si="26"/>
        <v>14106813.628189087</v>
      </c>
      <c r="FD13" s="505">
        <f t="shared" si="26"/>
        <v>14303347.956378937</v>
      </c>
      <c r="FE13" s="505">
        <f t="shared" si="26"/>
        <v>14746477.043244898</v>
      </c>
      <c r="FF13" s="505">
        <f t="shared" si="26"/>
        <v>14757327.944461823</v>
      </c>
      <c r="FG13" s="505">
        <f t="shared" si="26"/>
        <v>14296078.447977066</v>
      </c>
      <c r="FH13" s="505">
        <f t="shared" si="26"/>
        <v>14668488.609012604</v>
      </c>
      <c r="FI13" s="505">
        <f t="shared" si="26"/>
        <v>15161637.836187363</v>
      </c>
      <c r="FJ13" s="505">
        <f t="shared" si="26"/>
        <v>15065516.556641102</v>
      </c>
      <c r="FK13" s="505">
        <f t="shared" si="26"/>
        <v>14957392.885714054</v>
      </c>
      <c r="FL13" s="505">
        <f t="shared" si="26"/>
        <v>14993508.43785429</v>
      </c>
      <c r="FM13" s="505">
        <f t="shared" si="26"/>
        <v>15076305.851257563</v>
      </c>
      <c r="FN13" s="505">
        <f t="shared" si="26"/>
        <v>15108484.552446365</v>
      </c>
      <c r="FO13" s="505">
        <f t="shared" si="26"/>
        <v>14816867.021907806</v>
      </c>
      <c r="FP13" s="505">
        <f t="shared" si="26"/>
        <v>14734309.14706707</v>
      </c>
      <c r="FQ13" s="505">
        <f t="shared" si="26"/>
        <v>14790950.088594913</v>
      </c>
      <c r="FR13" s="505">
        <f t="shared" si="26"/>
        <v>14916950.184530258</v>
      </c>
      <c r="FS13" s="505">
        <f t="shared" si="26"/>
        <v>14476300.792888641</v>
      </c>
      <c r="FT13" s="505">
        <f t="shared" si="26"/>
        <v>14777109.393383026</v>
      </c>
      <c r="FU13" s="505">
        <f t="shared" si="26"/>
        <v>15101057.269500732</v>
      </c>
      <c r="FV13" s="505">
        <f t="shared" si="26"/>
        <v>14733076.769599915</v>
      </c>
      <c r="FW13" s="505">
        <f t="shared" si="26"/>
        <v>14366646.635845184</v>
      </c>
      <c r="FX13" s="505">
        <f t="shared" si="26"/>
        <v>15056503.344230652</v>
      </c>
      <c r="FY13" s="505">
        <f t="shared" si="26"/>
        <v>15736213.859846115</v>
      </c>
      <c r="FZ13" s="505">
        <f t="shared" si="26"/>
        <v>15344465.381184101</v>
      </c>
      <c r="GA13" s="505">
        <f t="shared" si="26"/>
        <v>15219099.444462776</v>
      </c>
      <c r="GB13" s="505">
        <f t="shared" si="26"/>
        <v>15454302.007129669</v>
      </c>
      <c r="GC13" s="505">
        <f t="shared" si="26"/>
        <v>15696857.066422939</v>
      </c>
      <c r="GD13" s="505">
        <f t="shared" si="26"/>
        <v>15595388.273034096</v>
      </c>
      <c r="GE13" s="505">
        <f t="shared" si="26"/>
        <v>15751229.548745155</v>
      </c>
      <c r="GF13" s="505">
        <f t="shared" si="26"/>
        <v>15632485.460140228</v>
      </c>
      <c r="GG13" s="505">
        <f t="shared" si="26"/>
        <v>15456254.226191163</v>
      </c>
      <c r="GH13" s="505">
        <f t="shared" si="26"/>
        <v>15438551.539360762</v>
      </c>
      <c r="GI13" s="505">
        <f t="shared" si="26"/>
        <v>15406084.036487103</v>
      </c>
      <c r="GJ13" s="505">
        <f t="shared" si="26"/>
        <v>15523370.976916313</v>
      </c>
      <c r="GK13" s="505">
        <f t="shared" si="26"/>
        <v>15553023.643838882</v>
      </c>
      <c r="GL13" s="505">
        <f t="shared" si="26"/>
        <v>15258795.372087479</v>
      </c>
      <c r="GM13" s="505">
        <f t="shared" ref="GM13:IX13" si="27">_xlfn.FORECAST.LINEAR(GM12,GM8:GM9,GM6:GM7)</f>
        <v>14841621.350841522</v>
      </c>
      <c r="GN13" s="505">
        <f t="shared" si="27"/>
        <v>15431247.221107483</v>
      </c>
      <c r="GO13" s="505">
        <f t="shared" si="27"/>
        <v>15944266.553634644</v>
      </c>
      <c r="GP13" s="505">
        <f t="shared" si="27"/>
        <v>15303486.408323288</v>
      </c>
      <c r="GQ13" s="505">
        <f t="shared" si="27"/>
        <v>15560614.239936829</v>
      </c>
      <c r="GR13" s="505">
        <f t="shared" si="27"/>
        <v>15730525.102586746</v>
      </c>
      <c r="GS13" s="505">
        <f t="shared" si="27"/>
        <v>15703791.044094086</v>
      </c>
      <c r="GT13" s="505">
        <f t="shared" si="27"/>
        <v>15372143.267074585</v>
      </c>
      <c r="GU13" s="505">
        <f t="shared" si="27"/>
        <v>15967856.450325012</v>
      </c>
      <c r="GV13" s="505">
        <f t="shared" si="27"/>
        <v>15864492.534345627</v>
      </c>
      <c r="GW13" s="505">
        <f t="shared" si="27"/>
        <v>15535467.109980106</v>
      </c>
      <c r="GX13" s="505">
        <f t="shared" si="27"/>
        <v>15451686.144405365</v>
      </c>
      <c r="GY13" s="505">
        <f t="shared" si="27"/>
        <v>15529933.037178516</v>
      </c>
      <c r="GZ13" s="505">
        <f t="shared" si="27"/>
        <v>15598596.960172653</v>
      </c>
      <c r="HA13" s="505">
        <f t="shared" si="27"/>
        <v>15721854.113188744</v>
      </c>
      <c r="HB13" s="505">
        <f t="shared" si="27"/>
        <v>15963190.103135109</v>
      </c>
      <c r="HC13" s="505">
        <f t="shared" si="27"/>
        <v>15697044.943459511</v>
      </c>
      <c r="HD13" s="505">
        <f t="shared" si="27"/>
        <v>15992501.601383209</v>
      </c>
      <c r="HE13" s="505">
        <f t="shared" si="27"/>
        <v>16231386.552097321</v>
      </c>
      <c r="HF13" s="505">
        <f t="shared" si="27"/>
        <v>15799649.105834961</v>
      </c>
      <c r="HG13" s="505">
        <f t="shared" si="27"/>
        <v>16169941.275064468</v>
      </c>
      <c r="HH13" s="505">
        <f t="shared" si="27"/>
        <v>16111790.05109024</v>
      </c>
      <c r="HI13" s="505">
        <f t="shared" si="27"/>
        <v>15949954.184381485</v>
      </c>
      <c r="HJ13" s="505">
        <f t="shared" si="27"/>
        <v>16007456.828752518</v>
      </c>
      <c r="HK13" s="505">
        <f t="shared" si="27"/>
        <v>16356834.775476456</v>
      </c>
      <c r="HL13" s="505">
        <f t="shared" si="27"/>
        <v>15923397.5679245</v>
      </c>
      <c r="HM13" s="505">
        <f t="shared" si="27"/>
        <v>15612059.823677063</v>
      </c>
      <c r="HN13" s="505">
        <f t="shared" si="27"/>
        <v>16321469.753730774</v>
      </c>
      <c r="HO13" s="505">
        <f t="shared" si="27"/>
        <v>15953749.020195007</v>
      </c>
      <c r="HP13" s="505">
        <f t="shared" si="27"/>
        <v>15752727.360477924</v>
      </c>
      <c r="HQ13" s="505">
        <f t="shared" si="27"/>
        <v>15723312.442901611</v>
      </c>
      <c r="HR13" s="505">
        <f t="shared" si="27"/>
        <v>15869673.428451538</v>
      </c>
      <c r="HS13" s="505">
        <f t="shared" si="27"/>
        <v>15018672.438827515</v>
      </c>
      <c r="HT13" s="505">
        <f t="shared" si="27"/>
        <v>15130906.293891907</v>
      </c>
      <c r="HU13" s="505">
        <f t="shared" si="27"/>
        <v>15545555.567099094</v>
      </c>
      <c r="HV13" s="505">
        <f t="shared" si="27"/>
        <v>15606040.885292053</v>
      </c>
      <c r="HW13" s="505">
        <f t="shared" si="27"/>
        <v>15705901.676882267</v>
      </c>
      <c r="HX13" s="505">
        <f t="shared" si="27"/>
        <v>15434617.699810028</v>
      </c>
      <c r="HY13" s="505">
        <f t="shared" si="27"/>
        <v>15291976.67092514</v>
      </c>
      <c r="HZ13" s="505">
        <f t="shared" si="27"/>
        <v>15774106.218771458</v>
      </c>
      <c r="IA13" s="505">
        <f t="shared" si="27"/>
        <v>15723750.457516432</v>
      </c>
      <c r="IB13" s="505">
        <f t="shared" si="27"/>
        <v>15390011.543558121</v>
      </c>
      <c r="IC13" s="505">
        <f t="shared" si="27"/>
        <v>15273402.222343445</v>
      </c>
      <c r="ID13" s="505">
        <f t="shared" si="27"/>
        <v>15870169.080238342</v>
      </c>
      <c r="IE13" s="505">
        <f t="shared" si="27"/>
        <v>15245621.418743134</v>
      </c>
      <c r="IF13" s="505">
        <f t="shared" si="27"/>
        <v>15308264.976493835</v>
      </c>
      <c r="IG13" s="505">
        <f t="shared" si="27"/>
        <v>15523817.679113388</v>
      </c>
      <c r="IH13" s="505">
        <f t="shared" si="27"/>
        <v>15361265.465831757</v>
      </c>
      <c r="II13" s="505">
        <f t="shared" si="27"/>
        <v>14718417.6483078</v>
      </c>
      <c r="IJ13" s="505">
        <f t="shared" si="27"/>
        <v>14943607.036346436</v>
      </c>
      <c r="IK13" s="505">
        <f t="shared" si="27"/>
        <v>15393339.383658171</v>
      </c>
      <c r="IL13" s="505">
        <f t="shared" si="27"/>
        <v>15428639.902863979</v>
      </c>
      <c r="IM13" s="505">
        <f t="shared" si="27"/>
        <v>15525312.253608227</v>
      </c>
      <c r="IN13" s="505">
        <f t="shared" si="27"/>
        <v>15454154.095014572</v>
      </c>
      <c r="IO13" s="505">
        <f t="shared" si="27"/>
        <v>15480515.80447197</v>
      </c>
      <c r="IP13" s="505">
        <f t="shared" si="27"/>
        <v>15867275.394086838</v>
      </c>
      <c r="IQ13" s="505">
        <f t="shared" si="27"/>
        <v>15523966.163854599</v>
      </c>
      <c r="IR13" s="505">
        <f t="shared" si="27"/>
        <v>15308536.062597275</v>
      </c>
      <c r="IS13" s="505">
        <f t="shared" si="27"/>
        <v>15183566.378680229</v>
      </c>
      <c r="IT13" s="505">
        <f t="shared" si="27"/>
        <v>15111265.106182098</v>
      </c>
      <c r="IU13" s="505">
        <f t="shared" si="27"/>
        <v>14253504.743045807</v>
      </c>
      <c r="IV13" s="505">
        <f t="shared" si="27"/>
        <v>14550494.939632416</v>
      </c>
      <c r="IW13" s="505">
        <f t="shared" si="27"/>
        <v>14983377.420913696</v>
      </c>
      <c r="IX13" s="505">
        <f t="shared" si="27"/>
        <v>14540627.885169983</v>
      </c>
      <c r="IY13" s="505">
        <f t="shared" ref="IY13:LJ13" si="28">_xlfn.FORECAST.LINEAR(IY12,IY8:IY9,IY6:IY7)</f>
        <v>13870397.815185547</v>
      </c>
      <c r="IZ13" s="505">
        <f t="shared" si="28"/>
        <v>14218836.751628876</v>
      </c>
      <c r="JA13" s="505">
        <f t="shared" si="28"/>
        <v>14754457.569955826</v>
      </c>
      <c r="JB13" s="505">
        <f t="shared" si="28"/>
        <v>14651979.042088509</v>
      </c>
      <c r="JC13" s="505">
        <f t="shared" si="28"/>
        <v>14490379.945074081</v>
      </c>
      <c r="JD13" s="505">
        <f t="shared" si="28"/>
        <v>14588885.414725304</v>
      </c>
      <c r="JE13" s="505">
        <f t="shared" si="28"/>
        <v>14786822.5893116</v>
      </c>
      <c r="JF13" s="505">
        <f t="shared" si="28"/>
        <v>14924372.61697197</v>
      </c>
      <c r="JG13" s="505">
        <f t="shared" si="28"/>
        <v>14627462.728219986</v>
      </c>
      <c r="JH13" s="505">
        <f t="shared" si="28"/>
        <v>14475363.733960152</v>
      </c>
      <c r="JI13" s="505">
        <f t="shared" si="28"/>
        <v>14490938.394388199</v>
      </c>
      <c r="JJ13" s="505">
        <f t="shared" si="28"/>
        <v>14696214.765022278</v>
      </c>
      <c r="JK13" s="505">
        <f t="shared" si="28"/>
        <v>14163212.210708618</v>
      </c>
      <c r="JL13" s="505">
        <f t="shared" si="28"/>
        <v>14418647.355796814</v>
      </c>
      <c r="JM13" s="505">
        <f t="shared" si="28"/>
        <v>14663387.954914093</v>
      </c>
      <c r="JN13" s="505">
        <f t="shared" si="28"/>
        <v>14105077.857857704</v>
      </c>
      <c r="JO13" s="505">
        <f t="shared" si="28"/>
        <v>14008998.103624821</v>
      </c>
      <c r="JP13" s="505">
        <f t="shared" si="28"/>
        <v>14310155.794971466</v>
      </c>
      <c r="JQ13" s="505">
        <f t="shared" si="28"/>
        <v>14469155.808441162</v>
      </c>
      <c r="JR13" s="505">
        <f t="shared" si="28"/>
        <v>13951423.401748419</v>
      </c>
      <c r="JS13" s="505">
        <f t="shared" si="28"/>
        <v>13920874.534394383</v>
      </c>
      <c r="JT13" s="505">
        <f t="shared" si="28"/>
        <v>13959593.649185658</v>
      </c>
      <c r="JU13" s="505">
        <f t="shared" si="28"/>
        <v>13913913.217563629</v>
      </c>
      <c r="JV13" s="505">
        <f t="shared" si="28"/>
        <v>13632084.01414299</v>
      </c>
      <c r="JW13" s="505">
        <f t="shared" si="28"/>
        <v>14048113.591226578</v>
      </c>
      <c r="JX13" s="505">
        <f t="shared" si="28"/>
        <v>13895509.50535965</v>
      </c>
      <c r="JY13" s="505">
        <f t="shared" si="28"/>
        <v>13588333.25505209</v>
      </c>
      <c r="JZ13" s="505">
        <f t="shared" si="28"/>
        <v>13537189.971618176</v>
      </c>
      <c r="KA13" s="505">
        <f t="shared" si="28"/>
        <v>13498232.350948095</v>
      </c>
      <c r="KB13" s="505">
        <f t="shared" si="28"/>
        <v>13626573.234921455</v>
      </c>
      <c r="KC13" s="505">
        <f t="shared" si="28"/>
        <v>13624811.75185585</v>
      </c>
      <c r="KD13" s="505">
        <f t="shared" si="28"/>
        <v>13197960.604972839</v>
      </c>
      <c r="KE13" s="505">
        <f t="shared" si="28"/>
        <v>12637530.063259125</v>
      </c>
      <c r="KF13" s="505">
        <f t="shared" si="28"/>
        <v>12995744.429515839</v>
      </c>
      <c r="KG13" s="505">
        <f t="shared" si="28"/>
        <v>13294559.490352631</v>
      </c>
      <c r="KH13" s="505">
        <f t="shared" si="28"/>
        <v>12565490.451404572</v>
      </c>
      <c r="KI13" s="505">
        <f t="shared" si="28"/>
        <v>12935303.38850975</v>
      </c>
      <c r="KJ13" s="505">
        <f t="shared" si="28"/>
        <v>12999071.973788261</v>
      </c>
      <c r="KK13" s="505">
        <f t="shared" si="28"/>
        <v>12800034.406890869</v>
      </c>
      <c r="KL13" s="505">
        <f t="shared" si="28"/>
        <v>12381762.148029327</v>
      </c>
      <c r="KM13" s="505">
        <f t="shared" si="28"/>
        <v>12673256.17323494</v>
      </c>
      <c r="KN13" s="505">
        <f t="shared" si="28"/>
        <v>12424042.279428482</v>
      </c>
      <c r="KO13" s="505">
        <f t="shared" si="28"/>
        <v>12146840.296061516</v>
      </c>
      <c r="KP13" s="505">
        <f t="shared" si="28"/>
        <v>12349281.595676422</v>
      </c>
      <c r="KQ13" s="505">
        <f t="shared" si="28"/>
        <v>12060417.939346313</v>
      </c>
      <c r="KR13" s="505">
        <f t="shared" si="28"/>
        <v>11983208.897767067</v>
      </c>
      <c r="KS13" s="505">
        <f t="shared" si="28"/>
        <v>11966388.814657688</v>
      </c>
      <c r="KT13" s="505">
        <f t="shared" si="28"/>
        <v>11859511.643657684</v>
      </c>
      <c r="KU13" s="505">
        <f t="shared" si="28"/>
        <v>11211220.949748993</v>
      </c>
      <c r="KV13" s="505">
        <f t="shared" si="28"/>
        <v>11364819.502731323</v>
      </c>
      <c r="KW13" s="505">
        <f t="shared" si="28"/>
        <v>11636570.425458908</v>
      </c>
      <c r="KX13" s="505">
        <f t="shared" si="28"/>
        <v>11349583.873645782</v>
      </c>
      <c r="KY13" s="505">
        <f t="shared" si="28"/>
        <v>11572076.678375244</v>
      </c>
      <c r="KZ13" s="505">
        <f t="shared" si="28"/>
        <v>11464703.23541832</v>
      </c>
      <c r="LA13" s="505">
        <f t="shared" si="28"/>
        <v>11242705.773321629</v>
      </c>
      <c r="LB13" s="505">
        <f t="shared" si="28"/>
        <v>11119674.950886726</v>
      </c>
      <c r="LC13" s="505">
        <f t="shared" si="28"/>
        <v>11341561.529616356</v>
      </c>
      <c r="LD13" s="505">
        <f t="shared" si="28"/>
        <v>10972377.275257111</v>
      </c>
      <c r="LE13" s="505">
        <f t="shared" si="28"/>
        <v>10674445.070234299</v>
      </c>
      <c r="LF13" s="505">
        <f t="shared" si="28"/>
        <v>11103003.221654892</v>
      </c>
      <c r="LG13" s="505">
        <f t="shared" si="28"/>
        <v>10814358.39935112</v>
      </c>
      <c r="LH13" s="505">
        <f t="shared" si="28"/>
        <v>10654565.704787254</v>
      </c>
      <c r="LI13" s="505">
        <f t="shared" si="28"/>
        <v>10620210.871399403</v>
      </c>
      <c r="LJ13" s="505">
        <f t="shared" si="28"/>
        <v>10707236.872117996</v>
      </c>
      <c r="LK13" s="505">
        <f t="shared" ref="LK13:MN13" si="29">_xlfn.FORECAST.LINEAR(LK12,LK8:LK9,LK6:LK7)</f>
        <v>10178366.673858643</v>
      </c>
      <c r="LL13" s="505">
        <f t="shared" si="29"/>
        <v>10316578.931083679</v>
      </c>
      <c r="LM13" s="505">
        <f t="shared" si="29"/>
        <v>10592317.198449612</v>
      </c>
      <c r="LN13" s="505">
        <f t="shared" si="29"/>
        <v>10481444.366479397</v>
      </c>
      <c r="LO13" s="505">
        <f t="shared" si="29"/>
        <v>10575942.574120045</v>
      </c>
      <c r="LP13" s="505">
        <f t="shared" si="29"/>
        <v>10357773.418498993</v>
      </c>
      <c r="LQ13" s="505">
        <f t="shared" si="29"/>
        <v>10190043.823321342</v>
      </c>
      <c r="LR13" s="505">
        <f t="shared" si="29"/>
        <v>10431978.858054072</v>
      </c>
      <c r="LS13" s="505">
        <f t="shared" si="29"/>
        <v>10438493.335218132</v>
      </c>
      <c r="LT13" s="505">
        <f t="shared" si="29"/>
        <v>10135051.975933075</v>
      </c>
      <c r="LU13" s="505">
        <f t="shared" si="29"/>
        <v>9962029.5892219543</v>
      </c>
      <c r="LV13" s="505">
        <f t="shared" si="29"/>
        <v>10354411.267753601</v>
      </c>
      <c r="LW13" s="505">
        <f t="shared" si="29"/>
        <v>9923512.1982059479</v>
      </c>
      <c r="LX13" s="505">
        <f t="shared" si="29"/>
        <v>9941783.6961297989</v>
      </c>
      <c r="LY13" s="505">
        <f t="shared" si="29"/>
        <v>10077737.695160866</v>
      </c>
      <c r="LZ13" s="505">
        <f t="shared" si="29"/>
        <v>10002893.995779037</v>
      </c>
      <c r="MA13" s="505">
        <f t="shared" si="29"/>
        <v>9596191.7955265045</v>
      </c>
      <c r="MB13" s="505">
        <f t="shared" si="29"/>
        <v>9455204.7991182208</v>
      </c>
      <c r="MC13" s="505">
        <f t="shared" si="29"/>
        <v>9162613.5662078857</v>
      </c>
      <c r="MD13" s="505">
        <f t="shared" si="29"/>
        <v>8307210.1419868469</v>
      </c>
      <c r="ME13" s="505">
        <f t="shared" si="29"/>
        <v>8966285.7726097107</v>
      </c>
      <c r="MF13" s="505">
        <f t="shared" si="29"/>
        <v>9518219.5377521515</v>
      </c>
      <c r="MG13" s="505">
        <f t="shared" si="29"/>
        <v>9891707.0824537277</v>
      </c>
      <c r="MH13" s="505">
        <f t="shared" si="29"/>
        <v>10015798.815635681</v>
      </c>
      <c r="MI13" s="505">
        <f t="shared" si="29"/>
        <v>9799487.3740186691</v>
      </c>
      <c r="MJ13" s="505">
        <f t="shared" si="29"/>
        <v>9706946.0180021524</v>
      </c>
      <c r="MK13" s="505">
        <f t="shared" si="29"/>
        <v>9745795.4192972183</v>
      </c>
      <c r="ML13" s="505">
        <f t="shared" si="29"/>
        <v>9922798.3585987091</v>
      </c>
      <c r="MM13" s="505">
        <f t="shared" si="29"/>
        <v>9458130.3401298523</v>
      </c>
      <c r="MN13" s="505">
        <f t="shared" si="29"/>
        <v>9557470.5404987335</v>
      </c>
      <c r="MO13" s="505">
        <f>_xlfn.FORECAST.LINEAR(MO12,MM13:MN13,MM12:MN12)</f>
        <v>9656810.7408676147</v>
      </c>
      <c r="MP13" s="505"/>
    </row>
    <row r="14" spans="1:354" x14ac:dyDescent="0.25">
      <c r="A14" s="525"/>
      <c r="B14" s="525"/>
      <c r="C14" s="525"/>
      <c r="D14" s="525"/>
      <c r="E14" s="525"/>
      <c r="F14" s="525"/>
      <c r="G14" s="525"/>
      <c r="H14" s="525"/>
      <c r="I14" s="525"/>
      <c r="J14" s="525"/>
      <c r="K14" s="525"/>
      <c r="L14" s="525"/>
      <c r="M14" s="525"/>
      <c r="N14" s="525"/>
      <c r="O14" s="525"/>
      <c r="P14" s="525"/>
      <c r="Q14" s="525"/>
      <c r="R14" s="525"/>
      <c r="S14" s="525"/>
      <c r="T14" s="525"/>
      <c r="U14" s="525"/>
      <c r="V14" s="525"/>
      <c r="W14" s="525"/>
      <c r="X14" s="525"/>
      <c r="Y14" s="525"/>
      <c r="Z14" s="525"/>
      <c r="AA14" s="525"/>
      <c r="AB14" s="525"/>
      <c r="AC14" s="525"/>
      <c r="AD14" s="525"/>
      <c r="AE14" s="525"/>
      <c r="AF14" s="525"/>
      <c r="AG14" s="525"/>
      <c r="AH14" s="525"/>
      <c r="AI14" s="525"/>
      <c r="AJ14" s="525"/>
      <c r="AK14" s="525"/>
      <c r="AL14" s="525"/>
      <c r="AM14" s="525"/>
      <c r="AN14" s="525"/>
      <c r="AO14" s="525"/>
      <c r="AP14" s="525"/>
      <c r="AQ14" s="525"/>
      <c r="AR14" s="525"/>
      <c r="AS14" s="525"/>
      <c r="AT14" s="525"/>
      <c r="AU14" s="525"/>
      <c r="AV14" s="525"/>
      <c r="AW14" s="525"/>
      <c r="AX14" s="525"/>
      <c r="AY14" s="525"/>
      <c r="AZ14" s="525"/>
      <c r="BA14" s="525"/>
      <c r="BB14" s="525"/>
      <c r="BC14" s="525"/>
      <c r="BD14" s="525"/>
      <c r="BE14" s="525"/>
      <c r="BF14" s="525"/>
      <c r="BG14" s="525"/>
      <c r="BH14" s="525"/>
      <c r="BI14" s="525"/>
      <c r="BJ14" s="525"/>
      <c r="BK14" s="525"/>
      <c r="BL14" s="525"/>
      <c r="BM14" s="525"/>
      <c r="BN14" s="525"/>
      <c r="BO14" s="525"/>
      <c r="BP14" s="525"/>
      <c r="BQ14" s="525"/>
      <c r="BR14" s="525"/>
      <c r="BS14" s="525"/>
      <c r="BT14" s="525"/>
      <c r="BU14" s="525"/>
      <c r="BV14" s="525"/>
      <c r="BW14" s="525"/>
      <c r="BX14" s="525"/>
      <c r="BY14" s="525"/>
      <c r="BZ14" s="525"/>
      <c r="CA14" s="525"/>
      <c r="CB14" s="525"/>
      <c r="CC14" s="525"/>
      <c r="CD14" s="525"/>
      <c r="CE14" s="525"/>
      <c r="CF14" s="525"/>
      <c r="CG14" s="525"/>
      <c r="CH14" s="525"/>
      <c r="CI14" s="525"/>
      <c r="CJ14" s="525"/>
      <c r="CK14" s="525"/>
      <c r="CL14" s="525"/>
      <c r="CM14" s="525"/>
      <c r="CN14" s="525"/>
      <c r="CO14" s="525"/>
      <c r="CP14" s="525"/>
      <c r="CQ14" s="525"/>
      <c r="CR14" s="525"/>
      <c r="CS14" s="525"/>
      <c r="CT14" s="525"/>
      <c r="CU14" s="525"/>
      <c r="CV14" s="525"/>
      <c r="CW14" s="525"/>
      <c r="CX14" s="525"/>
      <c r="CY14" s="525"/>
      <c r="CZ14" s="525"/>
      <c r="DA14" s="525"/>
      <c r="DB14" s="525"/>
      <c r="DC14" s="525"/>
      <c r="DD14" s="525"/>
      <c r="DE14" s="525"/>
      <c r="DF14" s="525"/>
      <c r="DG14" s="525"/>
      <c r="DH14" s="525"/>
      <c r="DI14" s="525"/>
      <c r="DJ14" s="525"/>
      <c r="DK14" s="525"/>
      <c r="DL14" s="525"/>
      <c r="DM14" s="525"/>
      <c r="DN14" s="525"/>
      <c r="DO14" s="525"/>
      <c r="DP14" s="525"/>
      <c r="DQ14" s="525"/>
      <c r="DR14" s="525"/>
      <c r="DS14" s="525"/>
      <c r="DT14" s="525"/>
      <c r="DU14" s="525"/>
      <c r="DV14" s="525"/>
      <c r="DW14" s="525"/>
      <c r="DX14" s="525"/>
      <c r="DY14" s="525"/>
      <c r="DZ14" s="525"/>
      <c r="EA14" s="525"/>
      <c r="EB14" s="525"/>
      <c r="EC14" s="525"/>
      <c r="ED14" s="525"/>
      <c r="EE14" s="525"/>
      <c r="EF14" s="525"/>
      <c r="EG14" s="525"/>
      <c r="EH14" s="525"/>
      <c r="EI14" s="525"/>
      <c r="EJ14" s="525"/>
      <c r="EK14" s="525"/>
      <c r="EL14" s="525"/>
      <c r="EM14" s="525"/>
      <c r="EN14" s="525"/>
      <c r="EO14" s="525"/>
      <c r="EP14" s="525"/>
      <c r="EQ14" s="525"/>
      <c r="ER14" s="525"/>
      <c r="ES14" s="525"/>
      <c r="ET14" s="525"/>
      <c r="EU14" s="525"/>
      <c r="EV14" s="525"/>
      <c r="EW14" s="525"/>
      <c r="EX14" s="525"/>
      <c r="EY14" s="525"/>
      <c r="EZ14" s="525"/>
      <c r="FA14" s="525"/>
      <c r="FB14" s="525"/>
      <c r="FC14" s="525"/>
      <c r="FD14" s="525"/>
      <c r="FE14" s="525"/>
      <c r="FF14" s="525"/>
      <c r="FG14" s="525"/>
      <c r="FH14" s="525"/>
      <c r="FI14" s="525"/>
      <c r="FJ14" s="525"/>
      <c r="FK14" s="525"/>
      <c r="FL14" s="525"/>
      <c r="FM14" s="525"/>
      <c r="FN14" s="525"/>
      <c r="FO14" s="525"/>
      <c r="FP14" s="525"/>
      <c r="FQ14" s="525"/>
      <c r="FR14" s="525"/>
      <c r="FS14" s="525"/>
      <c r="FT14" s="525"/>
      <c r="FU14" s="525"/>
      <c r="FV14" s="525"/>
      <c r="FW14" s="525"/>
      <c r="FX14" s="525"/>
      <c r="FY14" s="525"/>
      <c r="FZ14" s="525"/>
      <c r="GA14" s="525"/>
      <c r="GB14" s="525"/>
      <c r="GC14" s="525"/>
      <c r="GD14" s="525"/>
      <c r="GE14" s="525"/>
      <c r="GF14" s="525"/>
      <c r="GG14" s="525"/>
      <c r="GH14" s="525"/>
      <c r="GI14" s="525"/>
      <c r="GJ14" s="525"/>
      <c r="GK14" s="525"/>
      <c r="GL14" s="525"/>
      <c r="GM14" s="525"/>
      <c r="GN14" s="525"/>
      <c r="GO14" s="525"/>
      <c r="GP14" s="525"/>
      <c r="GQ14" s="525"/>
      <c r="GR14" s="525"/>
      <c r="GS14" s="525"/>
      <c r="GT14" s="525"/>
      <c r="GU14" s="525"/>
      <c r="GV14" s="525"/>
      <c r="GW14" s="525"/>
      <c r="GX14" s="525"/>
      <c r="GY14" s="525"/>
      <c r="GZ14" s="525"/>
      <c r="HA14" s="525"/>
      <c r="HB14" s="525"/>
      <c r="HC14" s="525"/>
      <c r="HD14" s="525"/>
      <c r="HE14" s="525"/>
      <c r="HF14" s="525"/>
      <c r="HG14" s="525"/>
      <c r="HH14" s="525"/>
      <c r="HI14" s="525"/>
      <c r="HJ14" s="525"/>
      <c r="HK14" s="525"/>
      <c r="HL14" s="525"/>
      <c r="HM14" s="525"/>
      <c r="HN14" s="525"/>
      <c r="HO14" s="525"/>
      <c r="HP14" s="525"/>
      <c r="HQ14" s="525"/>
      <c r="HR14" s="525"/>
      <c r="HS14" s="525"/>
      <c r="HT14" s="525"/>
      <c r="HU14" s="525"/>
      <c r="HV14" s="525"/>
      <c r="HW14" s="525"/>
      <c r="HX14" s="525"/>
      <c r="HY14" s="525"/>
      <c r="HZ14" s="525"/>
      <c r="IA14" s="525"/>
      <c r="IB14" s="525"/>
      <c r="IC14" s="525"/>
      <c r="ID14" s="525"/>
      <c r="IE14" s="525"/>
      <c r="IF14" s="525"/>
      <c r="IG14" s="525"/>
      <c r="IH14" s="525"/>
      <c r="II14" s="525"/>
      <c r="IJ14" s="525"/>
      <c r="IK14" s="525"/>
      <c r="IL14" s="525"/>
      <c r="IM14" s="525"/>
      <c r="IN14" s="525"/>
      <c r="IO14" s="525"/>
      <c r="IP14" s="525"/>
      <c r="IQ14" s="525"/>
      <c r="IR14" s="525"/>
      <c r="IS14" s="525"/>
      <c r="IT14" s="525"/>
      <c r="IU14" s="525"/>
      <c r="IV14" s="525"/>
      <c r="IW14" s="525"/>
      <c r="IX14" s="525"/>
      <c r="IY14" s="525"/>
      <c r="IZ14" s="525"/>
      <c r="JA14" s="525"/>
      <c r="JB14" s="525"/>
      <c r="JC14" s="525"/>
      <c r="JD14" s="525"/>
      <c r="JE14" s="525"/>
      <c r="JF14" s="525"/>
      <c r="JG14" s="525"/>
      <c r="JH14" s="525"/>
      <c r="JI14" s="525"/>
      <c r="JJ14" s="525"/>
      <c r="JK14" s="525"/>
      <c r="JL14" s="525"/>
      <c r="JM14" s="525"/>
      <c r="JN14" s="525"/>
      <c r="JO14" s="525"/>
      <c r="JP14" s="525"/>
      <c r="JQ14" s="525"/>
      <c r="JR14" s="525"/>
      <c r="JS14" s="525"/>
      <c r="JT14" s="525"/>
      <c r="JU14" s="525"/>
      <c r="JV14" s="525"/>
      <c r="JW14" s="525"/>
      <c r="JX14" s="525"/>
      <c r="JY14" s="525"/>
      <c r="JZ14" s="525"/>
      <c r="KA14" s="525"/>
      <c r="KB14" s="525"/>
      <c r="KC14" s="525"/>
      <c r="KD14" s="525"/>
      <c r="KE14" s="525"/>
      <c r="KF14" s="525"/>
      <c r="KG14" s="525"/>
      <c r="KH14" s="525"/>
      <c r="KI14" s="525"/>
      <c r="KJ14" s="525"/>
      <c r="KK14" s="525"/>
      <c r="KL14" s="525"/>
      <c r="KM14" s="525"/>
      <c r="KN14" s="525"/>
      <c r="KO14" s="525"/>
      <c r="KP14" s="525"/>
      <c r="KQ14" s="525"/>
      <c r="KR14" s="525"/>
      <c r="KS14" s="525"/>
      <c r="KT14" s="525"/>
      <c r="KU14" s="525"/>
      <c r="KV14" s="525"/>
      <c r="KW14" s="525"/>
      <c r="KX14" s="525"/>
      <c r="KY14" s="525"/>
      <c r="KZ14" s="525"/>
      <c r="LA14" s="525"/>
      <c r="LB14" s="525"/>
      <c r="LC14" s="525"/>
      <c r="LD14" s="525"/>
      <c r="LE14" s="525"/>
      <c r="LF14" s="525"/>
      <c r="LG14" s="525"/>
      <c r="LH14" s="525"/>
      <c r="LI14" s="525"/>
      <c r="LJ14" s="525"/>
      <c r="LK14" s="525"/>
      <c r="LL14" s="525"/>
      <c r="LM14" s="525"/>
      <c r="LN14" s="525"/>
      <c r="LO14" s="525"/>
      <c r="LP14" s="525"/>
      <c r="LQ14" s="525"/>
      <c r="LR14" s="525"/>
      <c r="LS14" s="525"/>
      <c r="LT14" s="525"/>
      <c r="LU14" s="525"/>
      <c r="LV14" s="525"/>
      <c r="LW14" s="525"/>
      <c r="LX14" s="525"/>
      <c r="LY14" s="525"/>
      <c r="LZ14" s="525"/>
      <c r="MA14" s="525"/>
      <c r="MB14" s="525"/>
      <c r="MC14" s="525"/>
      <c r="MD14" s="525"/>
      <c r="ME14" s="525"/>
      <c r="MF14" s="525"/>
      <c r="MG14" s="525"/>
      <c r="MH14" s="525"/>
      <c r="MI14" s="525"/>
      <c r="MJ14" s="525"/>
      <c r="MK14" s="525"/>
      <c r="ML14" s="525"/>
      <c r="MM14" s="525"/>
      <c r="MN14" s="525"/>
      <c r="MO14" s="525" t="s">
        <v>514</v>
      </c>
      <c r="MP14" s="525"/>
    </row>
  </sheetData>
  <mergeCells count="1">
    <mergeCell ref="A1:W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2EFE88-F0B0-4CEB-A790-D35D5BED6864}">
  <ds:schemaRefs>
    <ds:schemaRef ds:uri="http://schemas.microsoft.com/sharepoint/v3/contenttype/forms"/>
  </ds:schemaRefs>
</ds:datastoreItem>
</file>

<file path=customXml/itemProps2.xml><?xml version="1.0" encoding="utf-8"?>
<ds:datastoreItem xmlns:ds="http://schemas.openxmlformats.org/officeDocument/2006/customXml" ds:itemID="{97C17F70-C092-4775-ADE2-440FE376676D}"/>
</file>

<file path=customXml/itemProps3.xml><?xml version="1.0" encoding="utf-8"?>
<ds:datastoreItem xmlns:ds="http://schemas.openxmlformats.org/officeDocument/2006/customXml" ds:itemID="{99BCC93E-EAFD-4FDF-8B88-2730FA1D1CB4}">
  <ds:schemaRefs>
    <ds:schemaRef ds:uri="17fd2918-96a0-4d98-a0d4-247aed36e213"/>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a280aedc-7c1a-4615-8d10-4ae4c28fa7a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Heroin and Rx Price</vt:lpstr>
      <vt:lpstr>Buprenorphine IQVIA</vt:lpstr>
      <vt:lpstr>Monthly TPT Bup</vt:lpstr>
      <vt:lpstr>Buprenorphine Capacity</vt:lpstr>
      <vt:lpstr>Methadone NSSATS</vt:lpstr>
      <vt:lpstr>Vivitrol IQVIA</vt:lpstr>
      <vt:lpstr>Nx kits HR + IQVIA</vt:lpstr>
      <vt:lpstr>Fentanyl NFLIS</vt:lpstr>
      <vt:lpstr>Monthly TPT Opioids</vt:lpstr>
      <vt:lpstr>Opioid Rx Data IQVIA SH</vt:lpstr>
      <vt:lpstr>Opioid Fatal ODs NVSS</vt:lpstr>
      <vt:lpstr>Initiation Data</vt:lpstr>
      <vt:lpstr>NSDUH OUD HUD estimates</vt:lpstr>
      <vt:lpstr>RAND Adjusted Estimates</vt:lpstr>
      <vt:lpstr>NDHU to HUD</vt:lpstr>
      <vt:lpstr>Projections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Steinmetz, Erika</cp:lastModifiedBy>
  <cp:revision/>
  <dcterms:created xsi:type="dcterms:W3CDTF">2020-10-06T18:41:18Z</dcterms:created>
  <dcterms:modified xsi:type="dcterms:W3CDTF">2022-02-04T14:52:06Z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